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pivotTables/pivotTable3.xml" ContentType="application/vnd.openxmlformats-officedocument.spreadsheetml.pivotTable+xml"/>
  <Override PartName="/xl/drawings/drawing4.xml" ContentType="application/vnd.openxmlformats-officedocument.drawing+xml"/>
  <Override PartName="/xl/charts/chart3.xml" ContentType="application/vnd.openxmlformats-officedocument.drawingml.chart+xml"/>
  <Override PartName="/xl/pivotTables/pivotTable4.xml" ContentType="application/vnd.openxmlformats-officedocument.spreadsheetml.pivotTable+xml"/>
  <Override PartName="/xl/drawings/drawing5.xml" ContentType="application/vnd.openxmlformats-officedocument.drawing+xml"/>
  <Override PartName="/xl/charts/chart4.xml" ContentType="application/vnd.openxmlformats-officedocument.drawingml.chart+xml"/>
  <Override PartName="/xl/pivotTables/pivotTable5.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mc:AlternateContent xmlns:mc="http://schemas.openxmlformats.org/markup-compatibility/2006">
    <mc:Choice Requires="x15">
      <x15ac:absPath xmlns:x15ac="http://schemas.microsoft.com/office/spreadsheetml/2010/11/ac" url="C:\Users\CHENCHUAN\Downloads\"/>
    </mc:Choice>
  </mc:AlternateContent>
  <xr:revisionPtr revIDLastSave="0" documentId="13_ncr:1_{49BB21C1-AFCA-438F-851B-3C26EAF0E1D5}" xr6:coauthVersionLast="47" xr6:coauthVersionMax="47" xr10:uidLastSave="{00000000-0000-0000-0000-000000000000}"/>
  <bookViews>
    <workbookView xWindow="-108" yWindow="-108" windowWidth="23256" windowHeight="12456" tabRatio="921" activeTab="7" xr2:uid="{00000000-000D-0000-FFFF-FFFF00000000}"/>
  </bookViews>
  <sheets>
    <sheet name="教师信息" sheetId="9" r:id="rId1"/>
    <sheet name="预算数据" sheetId="1" r:id="rId2"/>
    <sheet name="实际数据" sheetId="2" r:id="rId3"/>
    <sheet name="销售成本计算" sheetId="6" r:id="rId4"/>
    <sheet name="利润表" sheetId="4" r:id="rId5"/>
    <sheet name="差异计算" sheetId="5" r:id="rId6"/>
    <sheet name="试算" sheetId="3" r:id="rId7"/>
    <sheet name="瀑布图" sheetId="8" r:id="rId8"/>
    <sheet name="透视图-销售" sheetId="22" r:id="rId9"/>
    <sheet name="透视图-直接材料" sheetId="18" r:id="rId10"/>
    <sheet name="透视图-直接人工" sheetId="19" r:id="rId11"/>
    <sheet name="透视图-间接费用" sheetId="20" r:id="rId12"/>
    <sheet name="透视图-销售与管理费用" sheetId="21" r:id="rId13"/>
    <sheet name="差异数据" sheetId="24" r:id="rId14"/>
  </sheets>
  <definedNames>
    <definedName name="_xlchart.v1.0" hidden="1">瀑布图!$A$1:$A$9</definedName>
    <definedName name="_xlchart.v1.1" hidden="1">瀑布图!$B$1:$B$9</definedName>
    <definedName name="_xlchart.v1.10" hidden="1">瀑布图!$A$1:$A$9</definedName>
    <definedName name="_xlchart.v1.11" hidden="1">瀑布图!$B$1:$B$9</definedName>
    <definedName name="_xlchart.v1.12" hidden="1">瀑布图!$A$1:$A$9</definedName>
    <definedName name="_xlchart.v1.13" hidden="1">瀑布图!$B$1:$B$9</definedName>
    <definedName name="_xlchart.v1.14" hidden="1">瀑布图!$A$1:$A$9</definedName>
    <definedName name="_xlchart.v1.15" hidden="1">瀑布图!$B$1:$B$9</definedName>
    <definedName name="_xlchart.v1.16" hidden="1">瀑布图!$A$1:$A$9</definedName>
    <definedName name="_xlchart.v1.17" hidden="1">瀑布图!$B$1:$B$9</definedName>
    <definedName name="_xlchart.v1.18" hidden="1">瀑布图!$A$1:$A$9</definedName>
    <definedName name="_xlchart.v1.19" hidden="1">瀑布图!$B$1:$B$9</definedName>
    <definedName name="_xlchart.v1.2" hidden="1">瀑布图!$A$1:$A$9</definedName>
    <definedName name="_xlchart.v1.3" hidden="1">瀑布图!$B$1:$B$9</definedName>
    <definedName name="_xlchart.v1.4" hidden="1">瀑布图!$A$1:$A$9</definedName>
    <definedName name="_xlchart.v1.5" hidden="1">瀑布图!$B$1:$B$9</definedName>
    <definedName name="_xlchart.v1.6" hidden="1">瀑布图!$A$1:$A$9</definedName>
    <definedName name="_xlchart.v1.7" hidden="1">瀑布图!$B$1:$B$9</definedName>
    <definedName name="_xlchart.v1.8" hidden="1">瀑布图!$A$1:$A$9</definedName>
    <definedName name="_xlchart.v1.9" hidden="1">瀑布图!$B$1:$B$9</definedName>
  </definedNames>
  <calcPr calcId="191029"/>
  <pivotCaches>
    <pivotCache cacheId="0" r:id="rId15"/>
    <pivotCache cacheId="1" r:id="rId16"/>
    <pivotCache cacheId="2" r:id="rId17"/>
    <pivotCache cacheId="3" r:id="rId18"/>
    <pivotCache cacheId="4" r:id="rId1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 i="1" l="1"/>
  <c r="D120" i="5" l="1"/>
  <c r="B120" i="5"/>
  <c r="D119" i="5"/>
  <c r="B119" i="5"/>
  <c r="D118" i="5"/>
  <c r="B118" i="5"/>
  <c r="B110" i="5"/>
  <c r="B109" i="5"/>
  <c r="B108" i="5"/>
  <c r="D89" i="5"/>
  <c r="C89" i="5"/>
  <c r="E88" i="5"/>
  <c r="D88" i="5"/>
  <c r="C88" i="5"/>
  <c r="B88" i="5"/>
  <c r="D87" i="5"/>
  <c r="C87" i="5"/>
  <c r="B87" i="5"/>
  <c r="E78" i="5"/>
  <c r="D78" i="5"/>
  <c r="C78" i="5"/>
  <c r="E74" i="5"/>
  <c r="J68" i="5"/>
  <c r="I68" i="5"/>
  <c r="H68" i="5"/>
  <c r="O68" i="5" s="1"/>
  <c r="E68" i="5"/>
  <c r="D68" i="5"/>
  <c r="C68" i="5"/>
  <c r="M67" i="5"/>
  <c r="M68" i="5" s="1"/>
  <c r="J67" i="5"/>
  <c r="I67" i="5"/>
  <c r="H67" i="5"/>
  <c r="E67" i="5"/>
  <c r="D67" i="5"/>
  <c r="F67" i="5" s="1"/>
  <c r="C67" i="5"/>
  <c r="E61" i="5"/>
  <c r="D61" i="5"/>
  <c r="C61" i="5"/>
  <c r="E60" i="5"/>
  <c r="D60" i="5"/>
  <c r="C60" i="5"/>
  <c r="F60" i="5" s="1"/>
  <c r="E59" i="5"/>
  <c r="D59" i="5"/>
  <c r="C59" i="5"/>
  <c r="E58" i="5"/>
  <c r="D58" i="5"/>
  <c r="C58" i="5"/>
  <c r="E52" i="5"/>
  <c r="D52" i="5"/>
  <c r="M61" i="5" s="1"/>
  <c r="B52" i="5"/>
  <c r="B61" i="5" s="1"/>
  <c r="E51" i="5"/>
  <c r="D51" i="5"/>
  <c r="M60" i="5" s="1"/>
  <c r="B51" i="5"/>
  <c r="B60" i="5" s="1"/>
  <c r="E50" i="5"/>
  <c r="D50" i="5"/>
  <c r="M59" i="5" s="1"/>
  <c r="B50" i="5"/>
  <c r="B59" i="5" s="1"/>
  <c r="E49" i="5"/>
  <c r="D49" i="5"/>
  <c r="M58" i="5" s="1"/>
  <c r="B49" i="5"/>
  <c r="B58" i="5" s="1"/>
  <c r="J43" i="5"/>
  <c r="I43" i="5"/>
  <c r="H43" i="5"/>
  <c r="E43" i="5"/>
  <c r="D43" i="5"/>
  <c r="C43" i="5"/>
  <c r="J42" i="5"/>
  <c r="I42" i="5"/>
  <c r="H42" i="5"/>
  <c r="E42" i="5"/>
  <c r="D42" i="5"/>
  <c r="C42" i="5"/>
  <c r="J41" i="5"/>
  <c r="I41" i="5"/>
  <c r="H41" i="5"/>
  <c r="E41" i="5"/>
  <c r="D41" i="5"/>
  <c r="C41" i="5"/>
  <c r="M40" i="5"/>
  <c r="J40" i="5"/>
  <c r="I40" i="5"/>
  <c r="H40" i="5"/>
  <c r="E40" i="5"/>
  <c r="D40" i="5"/>
  <c r="C40" i="5"/>
  <c r="E34" i="5"/>
  <c r="D34" i="5"/>
  <c r="M43" i="5" s="1"/>
  <c r="C34" i="5"/>
  <c r="B34" i="5"/>
  <c r="B43" i="5" s="1"/>
  <c r="E33" i="5"/>
  <c r="D33" i="5"/>
  <c r="M42" i="5" s="1"/>
  <c r="C33" i="5"/>
  <c r="B33" i="5"/>
  <c r="B42" i="5" s="1"/>
  <c r="E32" i="5"/>
  <c r="D32" i="5"/>
  <c r="M41" i="5" s="1"/>
  <c r="C32" i="5"/>
  <c r="B32" i="5"/>
  <c r="B41" i="5" s="1"/>
  <c r="E31" i="5"/>
  <c r="D31" i="5"/>
  <c r="C31" i="5"/>
  <c r="B31" i="5"/>
  <c r="B40" i="5" s="1"/>
  <c r="D25" i="5"/>
  <c r="C25" i="5"/>
  <c r="D24" i="5"/>
  <c r="E24" i="5" s="1"/>
  <c r="G9" i="24" s="1"/>
  <c r="D10" i="22" s="1"/>
  <c r="C24" i="5"/>
  <c r="D23" i="5"/>
  <c r="C23" i="5"/>
  <c r="D17" i="5"/>
  <c r="C17" i="5"/>
  <c r="D16" i="5"/>
  <c r="C16" i="5"/>
  <c r="D15" i="5"/>
  <c r="C15" i="5"/>
  <c r="E8" i="5"/>
  <c r="E17" i="5" s="1"/>
  <c r="C8" i="5"/>
  <c r="E7" i="5"/>
  <c r="E16" i="5" s="1"/>
  <c r="C7" i="5"/>
  <c r="E6" i="5"/>
  <c r="E15" i="5" s="1"/>
  <c r="C6" i="5"/>
  <c r="K22" i="4"/>
  <c r="J22" i="4"/>
  <c r="I22" i="4"/>
  <c r="K21" i="4"/>
  <c r="J21" i="4"/>
  <c r="J23" i="4" s="1"/>
  <c r="I21" i="4"/>
  <c r="J16" i="4"/>
  <c r="K15" i="4"/>
  <c r="J15" i="4"/>
  <c r="I15" i="4"/>
  <c r="K14" i="4"/>
  <c r="J14" i="4"/>
  <c r="I14" i="4"/>
  <c r="I16" i="4" s="1"/>
  <c r="F12" i="4"/>
  <c r="F25" i="4" s="1"/>
  <c r="O158" i="5" s="1"/>
  <c r="F11" i="4"/>
  <c r="B11" i="4"/>
  <c r="D11" i="4" s="1"/>
  <c r="I5" i="4"/>
  <c r="F5" i="4"/>
  <c r="F19" i="4" s="1"/>
  <c r="O151" i="5" s="1"/>
  <c r="D5" i="4"/>
  <c r="U5" i="9" s="1"/>
  <c r="K4" i="4"/>
  <c r="K5" i="4" s="1"/>
  <c r="K6" i="4" s="1"/>
  <c r="J4" i="4"/>
  <c r="I4" i="4"/>
  <c r="D38" i="6"/>
  <c r="H153" i="5" s="1"/>
  <c r="D37" i="6"/>
  <c r="B30" i="6"/>
  <c r="D29" i="6"/>
  <c r="B29" i="6"/>
  <c r="D28" i="6"/>
  <c r="B28" i="6"/>
  <c r="K19" i="6"/>
  <c r="I19" i="6"/>
  <c r="J61" i="5" s="1"/>
  <c r="H19" i="6"/>
  <c r="I61" i="5" s="1"/>
  <c r="G19" i="6"/>
  <c r="H61" i="5" s="1"/>
  <c r="F19" i="6"/>
  <c r="K18" i="6"/>
  <c r="I18" i="6"/>
  <c r="J60" i="5" s="1"/>
  <c r="H18" i="6"/>
  <c r="I60" i="5" s="1"/>
  <c r="G18" i="6"/>
  <c r="H60" i="5" s="1"/>
  <c r="F18" i="6"/>
  <c r="K17" i="6"/>
  <c r="I17" i="6"/>
  <c r="H17" i="6"/>
  <c r="G17" i="6"/>
  <c r="F17" i="6"/>
  <c r="K16" i="6"/>
  <c r="I16" i="6"/>
  <c r="J58" i="5" s="1"/>
  <c r="H16" i="6"/>
  <c r="I58" i="5" s="1"/>
  <c r="G16" i="6"/>
  <c r="H58" i="5" s="1"/>
  <c r="O58" i="5" s="1"/>
  <c r="F16" i="6"/>
  <c r="D14" i="6"/>
  <c r="I10" i="6"/>
  <c r="K10" i="6" s="1"/>
  <c r="E79" i="5" s="1"/>
  <c r="E80" i="5" s="1"/>
  <c r="H10" i="6"/>
  <c r="G10" i="6"/>
  <c r="I9" i="6"/>
  <c r="K9" i="6" s="1"/>
  <c r="D79" i="5" s="1"/>
  <c r="H9" i="6"/>
  <c r="G9" i="6"/>
  <c r="J9" i="6" s="1"/>
  <c r="I8" i="6"/>
  <c r="H8" i="6"/>
  <c r="G8" i="6"/>
  <c r="B7" i="6"/>
  <c r="D6" i="6"/>
  <c r="B6" i="6"/>
  <c r="D5" i="6"/>
  <c r="B5" i="6"/>
  <c r="B8" i="6" s="1"/>
  <c r="B12" i="6" s="1"/>
  <c r="E32" i="2"/>
  <c r="F32" i="2" s="1"/>
  <c r="A32" i="2"/>
  <c r="E31" i="2"/>
  <c r="F31" i="2" s="1"/>
  <c r="A31" i="2"/>
  <c r="E30" i="2"/>
  <c r="A30" i="2"/>
  <c r="E26" i="2"/>
  <c r="F26" i="2" s="1"/>
  <c r="A26" i="2"/>
  <c r="E25" i="2"/>
  <c r="F25" i="2" s="1"/>
  <c r="A25" i="2"/>
  <c r="E24" i="2"/>
  <c r="F24" i="2" s="1"/>
  <c r="A24" i="2"/>
  <c r="F23" i="2"/>
  <c r="E23" i="2"/>
  <c r="A23" i="2"/>
  <c r="I39" i="1"/>
  <c r="C120" i="5" s="1"/>
  <c r="E120" i="5" s="1"/>
  <c r="I38" i="1"/>
  <c r="C119" i="5" s="1"/>
  <c r="E119" i="5" s="1"/>
  <c r="I37" i="1"/>
  <c r="E32" i="1"/>
  <c r="A32" i="1"/>
  <c r="F10" i="6" s="1"/>
  <c r="E31" i="1"/>
  <c r="A31" i="1"/>
  <c r="F9" i="6" s="1"/>
  <c r="E30" i="1"/>
  <c r="A30" i="1"/>
  <c r="F8" i="6" s="1"/>
  <c r="A26" i="1"/>
  <c r="A25" i="1"/>
  <c r="A24" i="1"/>
  <c r="K68" i="5" l="1"/>
  <c r="P41" i="5"/>
  <c r="G19" i="24" s="1"/>
  <c r="D11" i="18" s="1"/>
  <c r="E25" i="5"/>
  <c r="G10" i="24" s="1"/>
  <c r="D11" i="22" s="1"/>
  <c r="I23" i="4"/>
  <c r="F59" i="5"/>
  <c r="P61" i="5"/>
  <c r="G41" i="24" s="1"/>
  <c r="D17" i="19" s="1"/>
  <c r="B31" i="6"/>
  <c r="B35" i="6" s="1"/>
  <c r="F33" i="5"/>
  <c r="G13" i="24" s="1"/>
  <c r="D5" i="18" s="1"/>
  <c r="K23" i="4"/>
  <c r="E23" i="5"/>
  <c r="G8" i="24" s="1"/>
  <c r="D9" i="22" s="1"/>
  <c r="D121" i="5"/>
  <c r="I20" i="6"/>
  <c r="O61" i="5"/>
  <c r="G40" i="24" s="1"/>
  <c r="D16" i="19" s="1"/>
  <c r="Q43" i="5"/>
  <c r="G26" i="24" s="1"/>
  <c r="D18" i="18" s="1"/>
  <c r="F32" i="5"/>
  <c r="G12" i="24" s="1"/>
  <c r="D4" i="18" s="1"/>
  <c r="J10" i="6"/>
  <c r="L10" i="6" s="1"/>
  <c r="F6" i="4"/>
  <c r="E99" i="5" s="1"/>
  <c r="Q67" i="5"/>
  <c r="K40" i="5"/>
  <c r="J8" i="6"/>
  <c r="I7" i="4" s="1"/>
  <c r="Q60" i="5"/>
  <c r="G39" i="24" s="1"/>
  <c r="D15" i="19" s="1"/>
  <c r="K42" i="5"/>
  <c r="P60" i="5"/>
  <c r="G38" i="24" s="1"/>
  <c r="D14" i="19" s="1"/>
  <c r="V5" i="9"/>
  <c r="K16" i="4"/>
  <c r="F34" i="5"/>
  <c r="G14" i="24" s="1"/>
  <c r="D6" i="18" s="1"/>
  <c r="Q41" i="5"/>
  <c r="G20" i="24" s="1"/>
  <c r="D12" i="18" s="1"/>
  <c r="O43" i="5"/>
  <c r="G24" i="24" s="1"/>
  <c r="D16" i="18" s="1"/>
  <c r="Q68" i="5"/>
  <c r="F31" i="5"/>
  <c r="O41" i="5"/>
  <c r="G18" i="24" s="1"/>
  <c r="D10" i="18" s="1"/>
  <c r="K8" i="4"/>
  <c r="D30" i="6"/>
  <c r="D31" i="6" s="1"/>
  <c r="D35" i="6" s="1"/>
  <c r="D7" i="6"/>
  <c r="J7" i="4"/>
  <c r="L9" i="6"/>
  <c r="G31" i="24"/>
  <c r="D7" i="19" s="1"/>
  <c r="O62" i="5"/>
  <c r="E26" i="5"/>
  <c r="F68" i="5"/>
  <c r="C14" i="6" s="1"/>
  <c r="C37" i="6" s="1"/>
  <c r="P68" i="5"/>
  <c r="R68" i="5" s="1"/>
  <c r="E89" i="5"/>
  <c r="D90" i="5"/>
  <c r="K67" i="5"/>
  <c r="D74" i="5" s="1"/>
  <c r="F74" i="5" s="1"/>
  <c r="O67" i="5"/>
  <c r="D7" i="5"/>
  <c r="F43" i="5"/>
  <c r="D80" i="5"/>
  <c r="F42" i="5"/>
  <c r="R42" i="5" s="1"/>
  <c r="P42" i="5"/>
  <c r="G22" i="24" s="1"/>
  <c r="D14" i="18" s="1"/>
  <c r="C90" i="5"/>
  <c r="F81" i="5" s="1"/>
  <c r="E87" i="5"/>
  <c r="G20" i="6"/>
  <c r="P40" i="5"/>
  <c r="K41" i="5"/>
  <c r="K43" i="5"/>
  <c r="Q58" i="5"/>
  <c r="J59" i="5"/>
  <c r="Q59" i="5" s="1"/>
  <c r="G36" i="24" s="1"/>
  <c r="D12" i="19" s="1"/>
  <c r="D19" i="4"/>
  <c r="F58" i="5"/>
  <c r="P58" i="5"/>
  <c r="D8" i="6"/>
  <c r="D12" i="6" s="1"/>
  <c r="B36" i="6"/>
  <c r="B13" i="6" s="1"/>
  <c r="H59" i="5"/>
  <c r="O59" i="5" s="1"/>
  <c r="G34" i="24" s="1"/>
  <c r="D10" i="19" s="1"/>
  <c r="J17" i="6"/>
  <c r="F40" i="5"/>
  <c r="O40" i="5"/>
  <c r="Q42" i="5"/>
  <c r="G23" i="24" s="1"/>
  <c r="D15" i="18" s="1"/>
  <c r="P43" i="5"/>
  <c r="G25" i="24" s="1"/>
  <c r="D17" i="18" s="1"/>
  <c r="J16" i="6"/>
  <c r="C118" i="5"/>
  <c r="B12" i="4"/>
  <c r="B37" i="6"/>
  <c r="B14" i="6" s="1"/>
  <c r="I59" i="5"/>
  <c r="P59" i="5" s="1"/>
  <c r="G35" i="24" s="1"/>
  <c r="D11" i="19" s="1"/>
  <c r="H20" i="6"/>
  <c r="J18" i="6"/>
  <c r="I6" i="4"/>
  <c r="D8" i="5"/>
  <c r="G11" i="24"/>
  <c r="D3" i="18" s="1"/>
  <c r="F41" i="5"/>
  <c r="O42" i="5"/>
  <c r="G21" i="24" s="1"/>
  <c r="D13" i="18" s="1"/>
  <c r="D6" i="5"/>
  <c r="Q61" i="5"/>
  <c r="G42" i="24" s="1"/>
  <c r="D18" i="19" s="1"/>
  <c r="F61" i="5"/>
  <c r="F30" i="2"/>
  <c r="K8" i="6"/>
  <c r="E156" i="5" s="1"/>
  <c r="J19" i="6"/>
  <c r="J5" i="4"/>
  <c r="D6" i="4" s="1"/>
  <c r="C10" i="3"/>
  <c r="E10" i="3" s="1"/>
  <c r="B5" i="4"/>
  <c r="Q40" i="5"/>
  <c r="O60" i="5"/>
  <c r="G37" i="24" s="1"/>
  <c r="D13" i="19" s="1"/>
  <c r="P67" i="5"/>
  <c r="B21" i="6" l="1"/>
  <c r="B19" i="6"/>
  <c r="B16" i="6"/>
  <c r="B20" i="6" s="1"/>
  <c r="R43" i="5"/>
  <c r="K7" i="4"/>
  <c r="K9" i="4" s="1"/>
  <c r="F8" i="5" s="1"/>
  <c r="B8" i="4"/>
  <c r="F156" i="5"/>
  <c r="H156" i="5" s="1"/>
  <c r="J6" i="4"/>
  <c r="J8" i="4" s="1"/>
  <c r="J9" i="4" s="1"/>
  <c r="F7" i="5" s="1"/>
  <c r="E90" i="5"/>
  <c r="F35" i="5"/>
  <c r="C133" i="5" s="1"/>
  <c r="B6" i="4"/>
  <c r="B20" i="4" s="1"/>
  <c r="F20" i="4"/>
  <c r="O152" i="5" s="1"/>
  <c r="F7" i="4"/>
  <c r="Q69" i="5"/>
  <c r="C99" i="5"/>
  <c r="D20" i="4"/>
  <c r="D7" i="4"/>
  <c r="G32" i="24"/>
  <c r="D8" i="19" s="1"/>
  <c r="P62" i="5"/>
  <c r="G16" i="24"/>
  <c r="D8" i="18" s="1"/>
  <c r="P44" i="5"/>
  <c r="O44" i="5"/>
  <c r="G15" i="24"/>
  <c r="D7" i="18" s="1"/>
  <c r="C19" i="6"/>
  <c r="B22" i="6"/>
  <c r="D19" i="6"/>
  <c r="P69" i="5"/>
  <c r="D12" i="4"/>
  <c r="B25" i="4"/>
  <c r="R40" i="5"/>
  <c r="C12" i="6"/>
  <c r="G43" i="24"/>
  <c r="C3" i="20" s="1"/>
  <c r="C138" i="5"/>
  <c r="C128" i="5"/>
  <c r="B6" i="8"/>
  <c r="C23" i="3"/>
  <c r="D8" i="4"/>
  <c r="B7" i="4"/>
  <c r="T5" i="9"/>
  <c r="B19" i="4"/>
  <c r="O69" i="5"/>
  <c r="R67" i="5"/>
  <c r="C52" i="5"/>
  <c r="F52" i="5" s="1"/>
  <c r="G30" i="24" s="1"/>
  <c r="D6" i="19" s="1"/>
  <c r="L19" i="6"/>
  <c r="K61" i="5"/>
  <c r="R61" i="5" s="1"/>
  <c r="I8" i="4"/>
  <c r="I9" i="4" s="1"/>
  <c r="F6" i="5" s="1"/>
  <c r="F15" i="5" s="1"/>
  <c r="H15" i="5" s="1"/>
  <c r="C121" i="5"/>
  <c r="E118" i="5"/>
  <c r="E121" i="5" s="1"/>
  <c r="C50" i="5"/>
  <c r="F50" i="5" s="1"/>
  <c r="G28" i="24" s="1"/>
  <c r="D4" i="19" s="1"/>
  <c r="K59" i="5"/>
  <c r="R59" i="5" s="1"/>
  <c r="L17" i="6"/>
  <c r="K60" i="5"/>
  <c r="R60" i="5" s="1"/>
  <c r="C51" i="5"/>
  <c r="F51" i="5" s="1"/>
  <c r="G29" i="24" s="1"/>
  <c r="D5" i="19" s="1"/>
  <c r="L18" i="6"/>
  <c r="G33" i="24"/>
  <c r="D9" i="19" s="1"/>
  <c r="Q62" i="5"/>
  <c r="C13" i="6"/>
  <c r="C36" i="6" s="1"/>
  <c r="G17" i="24"/>
  <c r="D9" i="18" s="1"/>
  <c r="Q44" i="5"/>
  <c r="B53" i="6"/>
  <c r="C53" i="6" s="1"/>
  <c r="B38" i="6"/>
  <c r="B54" i="6"/>
  <c r="D53" i="6"/>
  <c r="C79" i="5"/>
  <c r="C80" i="5" s="1"/>
  <c r="F80" i="5" s="1"/>
  <c r="L8" i="6"/>
  <c r="D45" i="6"/>
  <c r="C45" i="6" s="1"/>
  <c r="D54" i="6"/>
  <c r="D21" i="6"/>
  <c r="C21" i="6" s="1"/>
  <c r="R41" i="5"/>
  <c r="C49" i="5"/>
  <c r="F49" i="5" s="1"/>
  <c r="L16" i="6"/>
  <c r="J20" i="6"/>
  <c r="K58" i="5"/>
  <c r="R58" i="5" s="1"/>
  <c r="C140" i="5"/>
  <c r="G46" i="24"/>
  <c r="C6" i="20" s="1"/>
  <c r="C33" i="3"/>
  <c r="H158" i="5"/>
  <c r="F17" i="5" l="1"/>
  <c r="H17" i="5" s="1"/>
  <c r="G7" i="24" s="1"/>
  <c r="D8" i="22" s="1"/>
  <c r="H8" i="5"/>
  <c r="G4" i="24" s="1"/>
  <c r="D5" i="22" s="1"/>
  <c r="D99" i="5"/>
  <c r="F21" i="4"/>
  <c r="O153" i="5" s="1"/>
  <c r="D100" i="5"/>
  <c r="E100" i="5"/>
  <c r="F9" i="4"/>
  <c r="F24" i="4" s="1"/>
  <c r="O157" i="5" s="1"/>
  <c r="D101" i="5"/>
  <c r="D110" i="5" s="1"/>
  <c r="E101" i="5"/>
  <c r="H6" i="5"/>
  <c r="F16" i="5"/>
  <c r="H16" i="5" s="1"/>
  <c r="G6" i="24" s="1"/>
  <c r="D7" i="22" s="1"/>
  <c r="H7" i="5"/>
  <c r="G3" i="24" s="1"/>
  <c r="D4" i="22" s="1"/>
  <c r="R62" i="5"/>
  <c r="C136" i="5" s="1"/>
  <c r="E153" i="5"/>
  <c r="F153" i="5" s="1"/>
  <c r="B40" i="6"/>
  <c r="B44" i="6" s="1"/>
  <c r="G5" i="24"/>
  <c r="D6" i="22" s="1"/>
  <c r="B9" i="4"/>
  <c r="B24" i="4" s="1"/>
  <c r="D9" i="4"/>
  <c r="D24" i="4" s="1"/>
  <c r="C175" i="5"/>
  <c r="C35" i="6"/>
  <c r="C16" i="6"/>
  <c r="R44" i="5"/>
  <c r="D21" i="4"/>
  <c r="C101" i="5"/>
  <c r="C100" i="5"/>
  <c r="L20" i="6"/>
  <c r="C42" i="3"/>
  <c r="D25" i="4"/>
  <c r="C108" i="5"/>
  <c r="E108" i="5"/>
  <c r="C36" i="3" s="1"/>
  <c r="D55" i="6"/>
  <c r="F33" i="4" s="1"/>
  <c r="C54" i="6"/>
  <c r="C55" i="6" s="1"/>
  <c r="D43" i="6"/>
  <c r="B45" i="6"/>
  <c r="B43" i="6"/>
  <c r="D22" i="4"/>
  <c r="O154" i="5"/>
  <c r="B21" i="4"/>
  <c r="F82" i="5"/>
  <c r="C38" i="6"/>
  <c r="F53" i="5"/>
  <c r="G27" i="24"/>
  <c r="D3" i="19" s="1"/>
  <c r="B55" i="6"/>
  <c r="G49" i="24"/>
  <c r="C5" i="21" s="1"/>
  <c r="C146" i="5"/>
  <c r="T18" i="9"/>
  <c r="R69" i="5"/>
  <c r="D23" i="4" l="1"/>
  <c r="E102" i="5"/>
  <c r="H18" i="5"/>
  <c r="D109" i="5"/>
  <c r="D102" i="5"/>
  <c r="D111" i="5" s="1"/>
  <c r="G48" i="24" s="1"/>
  <c r="C4" i="21" s="1"/>
  <c r="D108" i="5"/>
  <c r="C40" i="6"/>
  <c r="H169" i="5" s="1"/>
  <c r="D36" i="6"/>
  <c r="D40" i="6" s="1"/>
  <c r="D13" i="6"/>
  <c r="D16" i="6" s="1"/>
  <c r="B33" i="4"/>
  <c r="D7" i="3" s="1"/>
  <c r="E159" i="5"/>
  <c r="E160" i="5" s="1"/>
  <c r="E162" i="5" s="1"/>
  <c r="C110" i="5"/>
  <c r="E110" i="5"/>
  <c r="C38" i="3" s="1"/>
  <c r="C21" i="3"/>
  <c r="C127" i="5"/>
  <c r="B10" i="4"/>
  <c r="C109" i="5"/>
  <c r="E109" i="5"/>
  <c r="C37" i="3" s="1"/>
  <c r="C102" i="5"/>
  <c r="D10" i="4"/>
  <c r="F157" i="5"/>
  <c r="O170" i="5"/>
  <c r="O178" i="5" s="1"/>
  <c r="T16" i="9"/>
  <c r="C169" i="5"/>
  <c r="C20" i="6"/>
  <c r="C22" i="6" s="1"/>
  <c r="F159" i="5"/>
  <c r="H159" i="5" s="1"/>
  <c r="D13" i="3"/>
  <c r="O169" i="5"/>
  <c r="D33" i="4"/>
  <c r="C43" i="6"/>
  <c r="B46" i="6"/>
  <c r="B22" i="4" s="1"/>
  <c r="B23" i="4" s="1"/>
  <c r="D26" i="4"/>
  <c r="U8" i="9" s="1"/>
  <c r="U6" i="9"/>
  <c r="H9" i="5"/>
  <c r="G2" i="24"/>
  <c r="D3" i="22" s="1"/>
  <c r="C28" i="3"/>
  <c r="C135" i="5"/>
  <c r="B2" i="8" s="1"/>
  <c r="T14" i="9"/>
  <c r="C29" i="3"/>
  <c r="C137" i="5"/>
  <c r="B4" i="8" s="1"/>
  <c r="G44" i="24"/>
  <c r="C4" i="20" s="1"/>
  <c r="T15" i="9"/>
  <c r="C134" i="5"/>
  <c r="T13" i="9"/>
  <c r="C27" i="3"/>
  <c r="C39" i="3" l="1"/>
  <c r="C11" i="3" s="1"/>
  <c r="E11" i="3" s="1"/>
  <c r="E12" i="3"/>
  <c r="C44" i="6"/>
  <c r="C46" i="6" s="1"/>
  <c r="C139" i="5"/>
  <c r="H157" i="5"/>
  <c r="H160" i="5" s="1"/>
  <c r="H162" i="5" s="1"/>
  <c r="F160" i="5"/>
  <c r="F162" i="5" s="1"/>
  <c r="T6" i="9"/>
  <c r="B26" i="4"/>
  <c r="U7" i="9"/>
  <c r="D13" i="4"/>
  <c r="B8" i="8"/>
  <c r="C126" i="5"/>
  <c r="C129" i="5" s="1"/>
  <c r="C20" i="3"/>
  <c r="G45" i="24"/>
  <c r="C5" i="20" s="1"/>
  <c r="B5" i="8"/>
  <c r="E111" i="5"/>
  <c r="C111" i="5"/>
  <c r="G47" i="24" s="1"/>
  <c r="C3" i="21" s="1"/>
  <c r="C30" i="3"/>
  <c r="B3" i="8"/>
  <c r="C141" i="5"/>
  <c r="B13" i="4"/>
  <c r="T7" i="9"/>
  <c r="C170" i="5"/>
  <c r="C171" i="5" s="1"/>
  <c r="D20" i="6"/>
  <c r="D22" i="6" s="1"/>
  <c r="F8" i="4" s="1"/>
  <c r="D44" i="6"/>
  <c r="D46" i="6" s="1"/>
  <c r="F22" i="4" s="1"/>
  <c r="F23" i="4" s="1"/>
  <c r="H170" i="5"/>
  <c r="H171" i="5"/>
  <c r="O177" i="5"/>
  <c r="O176" i="5" l="1"/>
  <c r="O168" i="5"/>
  <c r="O171" i="5" s="1"/>
  <c r="D32" i="4"/>
  <c r="C22" i="3"/>
  <c r="U9" i="9"/>
  <c r="T8" i="9"/>
  <c r="O175" i="5"/>
  <c r="O179" i="5" s="1"/>
  <c r="V6" i="9"/>
  <c r="F26" i="4"/>
  <c r="F10" i="4"/>
  <c r="C9" i="3"/>
  <c r="E9" i="3" s="1"/>
  <c r="C145" i="5"/>
  <c r="T17" i="9"/>
  <c r="B32" i="4"/>
  <c r="B35" i="4" s="1"/>
  <c r="B37" i="4" s="1"/>
  <c r="T9" i="9"/>
  <c r="C7" i="3"/>
  <c r="C173" i="5"/>
  <c r="O155" i="5"/>
  <c r="O156" i="5" s="1"/>
  <c r="O159" i="5" s="1"/>
  <c r="D34" i="4"/>
  <c r="C174" i="5"/>
  <c r="E7" i="3" l="1"/>
  <c r="C147" i="5"/>
  <c r="B7" i="8"/>
  <c r="C24" i="3"/>
  <c r="C8" i="3" s="1"/>
  <c r="E8" i="3" s="1"/>
  <c r="T12" i="9"/>
  <c r="D35" i="4"/>
  <c r="D37" i="4" s="1"/>
  <c r="V7" i="9"/>
  <c r="F13" i="4"/>
  <c r="C176" i="5"/>
  <c r="C178" i="5" s="1"/>
  <c r="H173" i="5"/>
  <c r="H178" i="5" s="1"/>
  <c r="E15" i="3"/>
  <c r="V8" i="9"/>
  <c r="C13" i="3" l="1"/>
  <c r="C15" i="3"/>
  <c r="C17" i="3" s="1"/>
  <c r="V9" i="9"/>
  <c r="F32" i="4"/>
  <c r="F35" i="4" s="1"/>
  <c r="F37" i="4" s="1"/>
  <c r="B1" i="8"/>
  <c r="E13" i="3"/>
  <c r="B9" i="8" s="1"/>
  <c r="E17" i="3" l="1"/>
</calcChain>
</file>

<file path=xl/sharedStrings.xml><?xml version="1.0" encoding="utf-8"?>
<sst xmlns="http://schemas.openxmlformats.org/spreadsheetml/2006/main" count="1036" uniqueCount="595">
  <si>
    <t>Master budget总预算</t>
  </si>
  <si>
    <t>Flexible budget弹性预算</t>
  </si>
  <si>
    <t>Actual results实际结果</t>
  </si>
  <si>
    <t>Profti (CM format)利润（边际贡献法格式）</t>
  </si>
  <si>
    <t>Sales volume销售量</t>
  </si>
  <si>
    <t>Materials efficiency材料效率</t>
  </si>
  <si>
    <t>Labor rate人工费率</t>
  </si>
  <si>
    <t>VMOH efficiency变动间接费用效率</t>
  </si>
  <si>
    <t>Production Volume生产量</t>
  </si>
  <si>
    <t>Fixed SGA spending固定销售与管理费用支出</t>
  </si>
  <si>
    <t>DPIB2021</t>
  </si>
  <si>
    <t>BBJ:</t>
  </si>
  <si>
    <t>BBJ</t>
  </si>
  <si>
    <t>EBJ</t>
  </si>
  <si>
    <t>JBJ</t>
  </si>
  <si>
    <t>EBJ:</t>
  </si>
  <si>
    <t>JBJ:</t>
  </si>
  <si>
    <t>布料（尺）</t>
  </si>
  <si>
    <t>拉链、铆钉（套）</t>
  </si>
  <si>
    <t>刺绣针线（尺）</t>
  </si>
  <si>
    <t>亮片饰物（套）</t>
  </si>
  <si>
    <t xml:space="preserve">EBJ </t>
  </si>
  <si>
    <t>(A)</t>
  </si>
  <si>
    <t>(B)</t>
  </si>
  <si>
    <t xml:space="preserve">(C) </t>
  </si>
  <si>
    <t>(A) - (B)</t>
  </si>
  <si>
    <t>(B) - (C)</t>
  </si>
  <si>
    <t>(A) - (C)</t>
  </si>
  <si>
    <t>(a)</t>
  </si>
  <si>
    <t>(b)</t>
  </si>
  <si>
    <t>(c )</t>
  </si>
  <si>
    <t>(d)</t>
  </si>
  <si>
    <t>(e)</t>
  </si>
  <si>
    <t>合计</t>
  </si>
  <si>
    <t>销售量差异</t>
  </si>
  <si>
    <t>销售组合差异</t>
  </si>
  <si>
    <t>销售数量差异</t>
  </si>
  <si>
    <t>销售价格差异</t>
  </si>
  <si>
    <t xml:space="preserve"> </t>
  </si>
  <si>
    <t>产品</t>
  </si>
  <si>
    <t>(All)</t>
  </si>
  <si>
    <t>列标签</t>
  </si>
  <si>
    <t>牛仔布</t>
  </si>
  <si>
    <t>亮片饰物</t>
  </si>
  <si>
    <t>针线</t>
  </si>
  <si>
    <t>拉链</t>
  </si>
  <si>
    <t>效率差异</t>
  </si>
  <si>
    <t>价格差异</t>
  </si>
  <si>
    <t>组装</t>
  </si>
  <si>
    <t>裁减</t>
  </si>
  <si>
    <t>装饰</t>
  </si>
  <si>
    <t>刺绣</t>
  </si>
  <si>
    <t>费率差异</t>
  </si>
  <si>
    <t>固定间接费用</t>
  </si>
  <si>
    <t>变动间接费用</t>
  </si>
  <si>
    <t>支出差异</t>
  </si>
  <si>
    <t>数量差异</t>
  </si>
  <si>
    <t>固定销售与管理费用</t>
  </si>
  <si>
    <t>变动销售与管理费用</t>
  </si>
  <si>
    <t>突出显示的内容，因为这些内容不是本案例必须解决的问题。但是，它们会提供一些额外的见解。</t>
  </si>
  <si>
    <t>蓝色</t>
  </si>
  <si>
    <t>Variable SGA efficiency变动销售与管理费用效率</t>
    <phoneticPr fontId="2" type="noConversion"/>
  </si>
  <si>
    <t>为减少机械重复的工作,"瀑布图"、"透视图"和"差异数据"工作表的中数字会自动生成。</t>
    <phoneticPr fontId="2" type="noConversion"/>
  </si>
  <si>
    <t>List of check numbers数据核对列表</t>
  </si>
  <si>
    <t>Income statement利润表</t>
  </si>
  <si>
    <t>Total revenue收入总额</t>
  </si>
  <si>
    <t>Gross Margin毛利</t>
  </si>
  <si>
    <t>Contribution Margin边际贡献</t>
  </si>
  <si>
    <t>Profit (GM format)利润（毛利法格式）</t>
  </si>
  <si>
    <t>销售信息</t>
    <phoneticPr fontId="2" type="noConversion"/>
  </si>
  <si>
    <t>产品详情:</t>
    <phoneticPr fontId="2" type="noConversion"/>
  </si>
  <si>
    <t>基本款蓝色牛仔裤（BBJ）:</t>
    <phoneticPr fontId="2" type="noConversion"/>
  </si>
  <si>
    <t>裁减</t>
    <phoneticPr fontId="2" type="noConversion"/>
  </si>
  <si>
    <t>刺绣</t>
    <phoneticPr fontId="2" type="noConversion"/>
  </si>
  <si>
    <t>装饰</t>
    <phoneticPr fontId="2" type="noConversion"/>
  </si>
  <si>
    <t>组装</t>
    <phoneticPr fontId="2" type="noConversion"/>
  </si>
  <si>
    <t>变动间接费用</t>
    <phoneticPr fontId="2" type="noConversion"/>
  </si>
  <si>
    <t>裁减分钟数</t>
    <phoneticPr fontId="2" type="noConversion"/>
  </si>
  <si>
    <t>组装分钟数</t>
    <phoneticPr fontId="2" type="noConversion"/>
  </si>
  <si>
    <t>成本</t>
    <phoneticPr fontId="2" type="noConversion"/>
  </si>
  <si>
    <t>间接费用</t>
  </si>
  <si>
    <t>销售与管理费用</t>
  </si>
  <si>
    <t>退回、折让和折扣</t>
    <phoneticPr fontId="2" type="noConversion"/>
  </si>
  <si>
    <t>本期购入</t>
    <phoneticPr fontId="2" type="noConversion"/>
  </si>
  <si>
    <t>销售量</t>
    <phoneticPr fontId="2" type="noConversion"/>
  </si>
  <si>
    <t>期末余额</t>
    <phoneticPr fontId="2" type="noConversion"/>
  </si>
  <si>
    <t>刺绣款蓝色牛仔裤（EBJ）:</t>
    <phoneticPr fontId="2" type="noConversion"/>
  </si>
  <si>
    <t>布料（尺）</t>
    <phoneticPr fontId="2" type="noConversion"/>
  </si>
  <si>
    <t>每尺</t>
    <phoneticPr fontId="2" type="noConversion"/>
  </si>
  <si>
    <t>拉链、铆钉（套）</t>
    <phoneticPr fontId="2" type="noConversion"/>
  </si>
  <si>
    <t>预计本年销售额:</t>
    <phoneticPr fontId="2" type="noConversion"/>
  </si>
  <si>
    <t>机器工时：分钟</t>
    <phoneticPr fontId="2" type="noConversion"/>
  </si>
  <si>
    <t>按机器工时分配</t>
    <phoneticPr fontId="2" type="noConversion"/>
  </si>
  <si>
    <t>存货</t>
    <phoneticPr fontId="2" type="noConversion"/>
  </si>
  <si>
    <t>期初余额</t>
    <phoneticPr fontId="2" type="noConversion"/>
  </si>
  <si>
    <t>本期领用</t>
    <phoneticPr fontId="2" type="noConversion"/>
  </si>
  <si>
    <t>原材料</t>
    <phoneticPr fontId="2" type="noConversion"/>
  </si>
  <si>
    <t>间接费用</t>
    <phoneticPr fontId="2" type="noConversion"/>
  </si>
  <si>
    <t>变动间接费用：</t>
    <phoneticPr fontId="2" type="noConversion"/>
  </si>
  <si>
    <t>固定间接费用：</t>
    <phoneticPr fontId="2" type="noConversion"/>
  </si>
  <si>
    <t>管理费用</t>
    <phoneticPr fontId="2" type="noConversion"/>
  </si>
  <si>
    <t>折旧</t>
    <phoneticPr fontId="2" type="noConversion"/>
  </si>
  <si>
    <t>生产量</t>
    <phoneticPr fontId="2" type="noConversion"/>
  </si>
  <si>
    <t>辅助人员的工资和福利费</t>
    <phoneticPr fontId="2" type="noConversion"/>
  </si>
  <si>
    <t>产成品（件）</t>
    <phoneticPr fontId="2" type="noConversion"/>
  </si>
  <si>
    <t>预先设定的每机器工时的固定间接费用率</t>
    <phoneticPr fontId="2" type="noConversion"/>
  </si>
  <si>
    <t>变动的销售与管理费用：</t>
    <phoneticPr fontId="2" type="noConversion"/>
  </si>
  <si>
    <t>退回、折让和折扣(RAD)</t>
    <phoneticPr fontId="2" type="noConversion"/>
  </si>
  <si>
    <t>占销售净额的百分比</t>
    <phoneticPr fontId="2" type="noConversion"/>
  </si>
  <si>
    <t>RAD</t>
    <phoneticPr fontId="2" type="noConversion"/>
  </si>
  <si>
    <t>佣金</t>
    <phoneticPr fontId="2" type="noConversion"/>
  </si>
  <si>
    <t>一般提示</t>
    <phoneticPr fontId="2" type="noConversion"/>
  </si>
  <si>
    <t xml:space="preserve">坏账    </t>
    <phoneticPr fontId="2" type="noConversion"/>
  </si>
  <si>
    <t>员工工资和福利费</t>
    <phoneticPr fontId="2" type="noConversion"/>
  </si>
  <si>
    <t>弹性预算</t>
    <phoneticPr fontId="2" type="noConversion"/>
  </si>
  <si>
    <t>直接人工</t>
  </si>
  <si>
    <t>期初产成品库存</t>
    <phoneticPr fontId="2" type="noConversion"/>
  </si>
  <si>
    <t>销售成本计算的详细过程（毛利法格式）</t>
    <phoneticPr fontId="2" type="noConversion"/>
  </si>
  <si>
    <t>期末产成品账户中包含的固定间接费用</t>
    <phoneticPr fontId="2" type="noConversion"/>
  </si>
  <si>
    <t>预算单位产品的成本</t>
    <phoneticPr fontId="2" type="noConversion"/>
  </si>
  <si>
    <t>预算单位产品的固定间接费用</t>
    <phoneticPr fontId="2" type="noConversion"/>
  </si>
  <si>
    <t>JBJ耗费的实际工时</t>
    <phoneticPr fontId="2" type="noConversion"/>
  </si>
  <si>
    <t>合计</t>
    <phoneticPr fontId="2" type="noConversion"/>
  </si>
  <si>
    <t>存货中固定间接费用的变动</t>
    <phoneticPr fontId="2" type="noConversion"/>
  </si>
  <si>
    <t>生产量差异</t>
    <phoneticPr fontId="2" type="noConversion"/>
  </si>
  <si>
    <t>试算检验</t>
    <phoneticPr fontId="2" type="noConversion"/>
  </si>
  <si>
    <t>销售收入</t>
    <phoneticPr fontId="2" type="noConversion"/>
  </si>
  <si>
    <t>变动销售与管理费用</t>
    <phoneticPr fontId="2" type="noConversion"/>
  </si>
  <si>
    <t>固定销售与管理费用</t>
    <phoneticPr fontId="2" type="noConversion"/>
  </si>
  <si>
    <t>毛利法利润表</t>
    <phoneticPr fontId="2" type="noConversion"/>
  </si>
  <si>
    <t>预算单位边际贡献</t>
    <phoneticPr fontId="2" type="noConversion"/>
  </si>
  <si>
    <t>销售组合差异</t>
    <phoneticPr fontId="2" type="noConversion"/>
  </si>
  <si>
    <t>预算销售组合百分比</t>
    <phoneticPr fontId="2" type="noConversion"/>
  </si>
  <si>
    <t>预算单位产品的边际贡献</t>
    <phoneticPr fontId="2" type="noConversion"/>
  </si>
  <si>
    <t>销售价格差异</t>
    <phoneticPr fontId="2" type="noConversion"/>
  </si>
  <si>
    <t>材料效率差异</t>
    <phoneticPr fontId="2" type="noConversion"/>
  </si>
  <si>
    <t>人工效率差异</t>
    <phoneticPr fontId="2" type="noConversion"/>
  </si>
  <si>
    <t>变动间接费用效率差异</t>
    <phoneticPr fontId="2" type="noConversion"/>
  </si>
  <si>
    <t>销售数量差异</t>
    <phoneticPr fontId="2" type="noConversion"/>
  </si>
  <si>
    <t>销售量差异</t>
    <phoneticPr fontId="2" type="noConversion"/>
  </si>
  <si>
    <t>弹性预算销售额</t>
    <phoneticPr fontId="2" type="noConversion"/>
  </si>
  <si>
    <t>采购价格差异</t>
    <phoneticPr fontId="2" type="noConversion"/>
  </si>
  <si>
    <t>采购总量</t>
    <phoneticPr fontId="2" type="noConversion"/>
  </si>
  <si>
    <t>每件标准价格</t>
    <phoneticPr fontId="2" type="noConversion"/>
  </si>
  <si>
    <t>单位产品的标准价格</t>
    <phoneticPr fontId="2" type="noConversion"/>
  </si>
  <si>
    <t>人工费率差异</t>
    <phoneticPr fontId="2" type="noConversion"/>
  </si>
  <si>
    <t>每小时标准费率</t>
    <phoneticPr fontId="2" type="noConversion"/>
  </si>
  <si>
    <t>实际生产的标准工时</t>
    <phoneticPr fontId="2" type="noConversion"/>
  </si>
  <si>
    <t>变动间接费用的支出差异</t>
    <phoneticPr fontId="2" type="noConversion"/>
  </si>
  <si>
    <t>实际工时的标准成本</t>
    <phoneticPr fontId="2" type="noConversion"/>
  </si>
  <si>
    <t>固定间接费用的生产量差异</t>
    <phoneticPr fontId="2" type="noConversion"/>
  </si>
  <si>
    <t>预算固定间接费用</t>
    <phoneticPr fontId="2" type="noConversion"/>
  </si>
  <si>
    <t>预算</t>
    <phoneticPr fontId="2" type="noConversion"/>
  </si>
  <si>
    <t>实际</t>
    <phoneticPr fontId="2" type="noConversion"/>
  </si>
  <si>
    <t>固定间接费用支出差异</t>
    <phoneticPr fontId="2" type="noConversion"/>
  </si>
  <si>
    <t>工资和福利费</t>
    <phoneticPr fontId="2" type="noConversion"/>
  </si>
  <si>
    <t>变动销售与管理费用差异</t>
    <phoneticPr fontId="2" type="noConversion"/>
  </si>
  <si>
    <t>根据实际费率和实际销售价格计算得到的成本（实际结果）</t>
    <phoneticPr fontId="2" type="noConversion"/>
  </si>
  <si>
    <t>坏账</t>
    <phoneticPr fontId="2" type="noConversion"/>
  </si>
  <si>
    <t>因销售价差变动产生的差异</t>
    <phoneticPr fontId="2" type="noConversion"/>
  </si>
  <si>
    <t>因费率变动产生的差异</t>
    <phoneticPr fontId="2" type="noConversion"/>
  </si>
  <si>
    <t>变动的销售与管理费用差异</t>
    <phoneticPr fontId="2" type="noConversion"/>
  </si>
  <si>
    <t>固定销售与管理费用支出差异</t>
    <phoneticPr fontId="2" type="noConversion"/>
  </si>
  <si>
    <t>销售差异汇总</t>
    <phoneticPr fontId="2" type="noConversion"/>
  </si>
  <si>
    <t>变动间接费用支出差异</t>
    <phoneticPr fontId="2" type="noConversion"/>
  </si>
  <si>
    <t>固定销售与管理费用差异</t>
    <phoneticPr fontId="2" type="noConversion"/>
  </si>
  <si>
    <t>销售与管理费用差异合计</t>
    <phoneticPr fontId="2" type="noConversion"/>
  </si>
  <si>
    <t>毛利法格式利润表实际结果的一种替代列示方式</t>
    <phoneticPr fontId="2" type="noConversion"/>
  </si>
  <si>
    <t>边际贡献法格式下的固定间接费用的核算</t>
    <phoneticPr fontId="2" type="noConversion"/>
  </si>
  <si>
    <t>退回、折让与折扣</t>
    <phoneticPr fontId="2" type="noConversion"/>
  </si>
  <si>
    <t>固定间接费用在发生时费用化</t>
    <phoneticPr fontId="2" type="noConversion"/>
  </si>
  <si>
    <t>毛利法格式下的固定间接费用的核算</t>
    <phoneticPr fontId="2" type="noConversion"/>
  </si>
  <si>
    <t>固定间接费用合计</t>
    <phoneticPr fontId="2" type="noConversion"/>
  </si>
  <si>
    <t>试算</t>
    <phoneticPr fontId="2" type="noConversion"/>
  </si>
  <si>
    <t>边际贡献法和毛利法利润表下的弹性预算利润的试算</t>
    <phoneticPr fontId="2" type="noConversion"/>
  </si>
  <si>
    <t>边际贡献法格式下弹性预算所报告的利润</t>
    <phoneticPr fontId="2" type="noConversion"/>
  </si>
  <si>
    <t>差额</t>
    <phoneticPr fontId="2" type="noConversion"/>
  </si>
  <si>
    <t>毛利法格式下弹性预算所报告的利润</t>
    <phoneticPr fontId="2" type="noConversion"/>
  </si>
  <si>
    <t>成本差异总额</t>
    <phoneticPr fontId="2" type="noConversion"/>
  </si>
  <si>
    <t>总预算中报告的利润</t>
    <phoneticPr fontId="2" type="noConversion"/>
  </si>
  <si>
    <t>销售与管理费用差异</t>
    <phoneticPr fontId="2" type="noConversion"/>
  </si>
  <si>
    <t>存货中固定间接费用的变动（实际-预算）</t>
    <phoneticPr fontId="2" type="noConversion"/>
  </si>
  <si>
    <t>存货中固定间接费用的预算变动</t>
    <phoneticPr fontId="2" type="noConversion"/>
  </si>
  <si>
    <t>毛利法格式</t>
    <phoneticPr fontId="2" type="noConversion"/>
  </si>
  <si>
    <t>见（c）</t>
    <phoneticPr fontId="2" type="noConversion"/>
  </si>
  <si>
    <t>固定间接费用差异</t>
    <phoneticPr fontId="2" type="noConversion"/>
  </si>
  <si>
    <t>产品</t>
    <phoneticPr fontId="2" type="noConversion"/>
  </si>
  <si>
    <t>异水平1</t>
    <phoneticPr fontId="2" type="noConversion"/>
  </si>
  <si>
    <t>行标签</t>
  </si>
  <si>
    <t>总计</t>
  </si>
  <si>
    <t>拉链</t>
    <phoneticPr fontId="2" type="noConversion"/>
  </si>
  <si>
    <t>亮片饰物</t>
    <phoneticPr fontId="2" type="noConversion"/>
  </si>
  <si>
    <t>总和</t>
  </si>
  <si>
    <t>工序</t>
    <phoneticPr fontId="2" type="noConversion"/>
  </si>
  <si>
    <t>费率差异</t>
    <phoneticPr fontId="2" type="noConversion"/>
  </si>
  <si>
    <t>效率差异</t>
    <phoneticPr fontId="2" type="noConversion"/>
  </si>
  <si>
    <t>支出差异</t>
    <phoneticPr fontId="2" type="noConversion"/>
  </si>
  <si>
    <t>金额</t>
    <phoneticPr fontId="2" type="noConversion"/>
  </si>
  <si>
    <t>销售</t>
  </si>
  <si>
    <t>直接材料</t>
  </si>
  <si>
    <t>为防止不同学期的学生进行作弊：</t>
    <phoneticPr fontId="2" type="noConversion"/>
  </si>
  <si>
    <t>供教师使用的信息</t>
    <phoneticPr fontId="2" type="noConversion"/>
  </si>
  <si>
    <t>在每个新学期开始：</t>
    <phoneticPr fontId="2" type="noConversion"/>
  </si>
  <si>
    <t>改变一些数值，以形成本年的案例故事。参见教案中的一些举例。</t>
    <phoneticPr fontId="2" type="noConversion"/>
  </si>
  <si>
    <t>建议改动的数值有：销售量、价格、效率、生产量、材料价格和间接费用支出。</t>
    <phoneticPr fontId="2" type="noConversion"/>
  </si>
  <si>
    <t>请确保存货的期初余额是根据实际数量乘以标准成本计算得到的。</t>
    <phoneticPr fontId="2" type="noConversion"/>
  </si>
  <si>
    <t>如果你曾将案例DPI（A）布置为预算编制练习，请确保其中的预算数据相匹配。</t>
    <phoneticPr fontId="2" type="noConversion"/>
  </si>
  <si>
    <t>请考虑删除/修改工作表中以</t>
    <phoneticPr fontId="2" type="noConversion"/>
  </si>
  <si>
    <r>
      <rPr>
        <b/>
        <sz val="11"/>
        <rFont val="华文楷体"/>
        <family val="3"/>
        <charset val="134"/>
      </rPr>
      <t>不要删除</t>
    </r>
    <r>
      <rPr>
        <sz val="11"/>
        <rFont val="华文楷体"/>
        <family val="3"/>
        <charset val="134"/>
      </rPr>
      <t>名为"瀑布图"、"透视图"和"差异数据"的工作表中的公式。</t>
    </r>
    <phoneticPr fontId="2" type="noConversion"/>
  </si>
  <si>
    <t xml:space="preserve"> 包括学生工作表在内的密码为:</t>
    <phoneticPr fontId="2" type="noConversion"/>
  </si>
  <si>
    <t>数据核对列表（参见蓝色表中的示例）</t>
    <phoneticPr fontId="2" type="noConversion"/>
  </si>
  <si>
    <t>对于第3部分</t>
    <phoneticPr fontId="2" type="noConversion"/>
  </si>
  <si>
    <t>对于第1部分</t>
    <phoneticPr fontId="2" type="noConversion"/>
  </si>
  <si>
    <t>数据准备</t>
    <phoneticPr fontId="2" type="noConversion"/>
  </si>
  <si>
    <t>改变一些数字，然后查看答案以确保这些数字变动是有效的。以下为一些其他需要注意的事项：</t>
    <phoneticPr fontId="2" type="noConversion"/>
  </si>
  <si>
    <t>Select variances (total values)选择差异（总额）</t>
    <phoneticPr fontId="2" type="noConversion"/>
  </si>
  <si>
    <t>在"预算数据"和"实际数据"工作表中加入隐藏的行和/或列。然后更新你的答案，这样学生就不能轻易的复制以前学期学生的答案了。</t>
    <phoneticPr fontId="2" type="noConversion"/>
  </si>
  <si>
    <t xml:space="preserve"> 在你对"预算数据"和"实际数据"工作表做了改动后，请删除后续工作表的所有计算。（除以下注释的内容外）</t>
    <phoneticPr fontId="2" type="noConversion"/>
  </si>
  <si>
    <t>如果需要，教师可以将附有备忘录结构要求的附录发放给学生。</t>
    <phoneticPr fontId="2" type="noConversion"/>
  </si>
  <si>
    <t>一个完整的学生模板（如果是分阶段完成这个作业）</t>
    <phoneticPr fontId="2" type="noConversion"/>
  </si>
  <si>
    <t>删除一些相关的数据要素进而防止复制公式。</t>
    <phoneticPr fontId="2" type="noConversion"/>
  </si>
  <si>
    <t>编制学生表格</t>
    <phoneticPr fontId="2" type="noConversion"/>
  </si>
  <si>
    <t>采用加密方式对数据输入工作表进行加密（“审阅”工作区的“保护工作表”）。</t>
    <phoneticPr fontId="2" type="noConversion"/>
  </si>
  <si>
    <t>对于第2部分</t>
    <phoneticPr fontId="2" type="noConversion"/>
  </si>
  <si>
    <t>如果需要，教师可以将附有数据可视化说明的附录发放给学生。</t>
    <phoneticPr fontId="2" type="noConversion"/>
  </si>
  <si>
    <t>生产信息：</t>
    <phoneticPr fontId="2" type="noConversion"/>
  </si>
  <si>
    <t>产品详情:</t>
    <phoneticPr fontId="2" type="noConversion"/>
  </si>
  <si>
    <t>原材料（每件）:</t>
    <phoneticPr fontId="2" type="noConversion"/>
  </si>
  <si>
    <t>每尺</t>
    <phoneticPr fontId="2" type="noConversion"/>
  </si>
  <si>
    <t>亮片装饰蓝色牛仔裤（JBJ）:</t>
    <phoneticPr fontId="2" type="noConversion"/>
  </si>
  <si>
    <t>拉链、铆钉（套）</t>
    <phoneticPr fontId="2" type="noConversion"/>
  </si>
  <si>
    <t>每套</t>
    <phoneticPr fontId="2" type="noConversion"/>
  </si>
  <si>
    <t>刺绣针线（尺）</t>
    <phoneticPr fontId="2" type="noConversion"/>
  </si>
  <si>
    <t>预计本年销售额:</t>
    <phoneticPr fontId="2" type="noConversion"/>
  </si>
  <si>
    <t>亮片饰物（套）</t>
    <phoneticPr fontId="2" type="noConversion"/>
  </si>
  <si>
    <t>直接人工（每件）:</t>
    <phoneticPr fontId="2" type="noConversion"/>
  </si>
  <si>
    <t>机器工时：分钟</t>
    <phoneticPr fontId="2" type="noConversion"/>
  </si>
  <si>
    <t>每小时成本</t>
    <phoneticPr fontId="2" type="noConversion"/>
  </si>
  <si>
    <t>销售价格:</t>
    <phoneticPr fontId="2" type="noConversion"/>
  </si>
  <si>
    <t>裁减</t>
    <phoneticPr fontId="2" type="noConversion"/>
  </si>
  <si>
    <t>刺绣</t>
    <phoneticPr fontId="2" type="noConversion"/>
  </si>
  <si>
    <t>装饰</t>
    <phoneticPr fontId="2" type="noConversion"/>
  </si>
  <si>
    <t>变动间接费用:</t>
    <phoneticPr fontId="2" type="noConversion"/>
  </si>
  <si>
    <t>存货</t>
    <phoneticPr fontId="2" type="noConversion"/>
  </si>
  <si>
    <t>组装分钟数</t>
    <phoneticPr fontId="2" type="noConversion"/>
  </si>
  <si>
    <t>期初余额</t>
    <phoneticPr fontId="2" type="noConversion"/>
  </si>
  <si>
    <t>本期购入</t>
    <phoneticPr fontId="2" type="noConversion"/>
  </si>
  <si>
    <t>期末余额</t>
    <phoneticPr fontId="2" type="noConversion"/>
  </si>
  <si>
    <t>每小时机器工时</t>
    <phoneticPr fontId="2" type="noConversion"/>
  </si>
  <si>
    <t>固定间接费用：</t>
    <phoneticPr fontId="2" type="noConversion"/>
  </si>
  <si>
    <t>管理费用</t>
    <phoneticPr fontId="2" type="noConversion"/>
  </si>
  <si>
    <t>折旧</t>
    <phoneticPr fontId="2" type="noConversion"/>
  </si>
  <si>
    <t>生产量</t>
    <phoneticPr fontId="2" type="noConversion"/>
  </si>
  <si>
    <t>销售量</t>
    <phoneticPr fontId="2" type="noConversion"/>
  </si>
  <si>
    <t>辅助人员的工资和福利费</t>
    <phoneticPr fontId="2" type="noConversion"/>
  </si>
  <si>
    <t>预先设定的每机器工时的固定间接费用率</t>
    <phoneticPr fontId="2" type="noConversion"/>
  </si>
  <si>
    <t>销售与管理费用</t>
    <phoneticPr fontId="2" type="noConversion"/>
  </si>
  <si>
    <t>变动的销售与管理费用：</t>
    <phoneticPr fontId="2" type="noConversion"/>
  </si>
  <si>
    <t>退回、折让和折扣(RAD)</t>
    <phoneticPr fontId="2" type="noConversion"/>
  </si>
  <si>
    <t>占销售净额的百分比</t>
    <phoneticPr fontId="2" type="noConversion"/>
  </si>
  <si>
    <t>佣金</t>
    <phoneticPr fontId="2" type="noConversion"/>
  </si>
  <si>
    <t xml:space="preserve">坏账    </t>
    <phoneticPr fontId="2" type="noConversion"/>
  </si>
  <si>
    <t>固定的销售与管理费用:</t>
    <phoneticPr fontId="2" type="noConversion"/>
  </si>
  <si>
    <t>办公费</t>
    <phoneticPr fontId="2" type="noConversion"/>
  </si>
  <si>
    <t>员工工资和福利费</t>
    <phoneticPr fontId="2" type="noConversion"/>
  </si>
  <si>
    <t>销售信息</t>
    <phoneticPr fontId="2" type="noConversion"/>
  </si>
  <si>
    <t>请不要在公式中进行四舍五入到整数-只需要调整Excel的显示设置即可。请注意，牛仔服饰公司使用的是标准成本法核算系统，并且将全部差异结转到销售成本中。</t>
    <phoneticPr fontId="2" type="noConversion"/>
  </si>
  <si>
    <t>折旧</t>
    <phoneticPr fontId="2" type="noConversion"/>
  </si>
  <si>
    <t>生产信息：</t>
    <phoneticPr fontId="2" type="noConversion"/>
  </si>
  <si>
    <t>原材料（每件）:</t>
    <phoneticPr fontId="2" type="noConversion"/>
  </si>
  <si>
    <t>基本款蓝色牛仔裤（BBJ）:</t>
    <phoneticPr fontId="2" type="noConversion"/>
  </si>
  <si>
    <t>亮片装饰蓝色牛仔裤（JBJ）:</t>
    <phoneticPr fontId="2" type="noConversion"/>
  </si>
  <si>
    <t>每套</t>
    <phoneticPr fontId="2" type="noConversion"/>
  </si>
  <si>
    <t>刺绣针线（尺）</t>
    <phoneticPr fontId="2" type="noConversion"/>
  </si>
  <si>
    <t>亮片饰物（套）</t>
    <phoneticPr fontId="2" type="noConversion"/>
  </si>
  <si>
    <t>每套</t>
    <phoneticPr fontId="2" type="noConversion"/>
  </si>
  <si>
    <t>直接人工（每件）:</t>
    <phoneticPr fontId="2" type="noConversion"/>
  </si>
  <si>
    <t>每小时成本</t>
    <phoneticPr fontId="2" type="noConversion"/>
  </si>
  <si>
    <t>销售价格:</t>
    <phoneticPr fontId="2" type="noConversion"/>
  </si>
  <si>
    <t>裁减</t>
    <phoneticPr fontId="2" type="noConversion"/>
  </si>
  <si>
    <t>装饰</t>
    <phoneticPr fontId="2" type="noConversion"/>
  </si>
  <si>
    <t>变动间接费用:</t>
    <phoneticPr fontId="2" type="noConversion"/>
  </si>
  <si>
    <t>本期购入</t>
    <phoneticPr fontId="2" type="noConversion"/>
  </si>
  <si>
    <t>本期领用</t>
    <phoneticPr fontId="2" type="noConversion"/>
  </si>
  <si>
    <t>变动间接费用：</t>
    <phoneticPr fontId="2" type="noConversion"/>
  </si>
  <si>
    <t>期初余额</t>
    <phoneticPr fontId="2" type="noConversion"/>
  </si>
  <si>
    <t>生产量</t>
    <phoneticPr fontId="2" type="noConversion"/>
  </si>
  <si>
    <t>产成品（件）</t>
    <phoneticPr fontId="2" type="noConversion"/>
  </si>
  <si>
    <t>销售与管理费用</t>
    <phoneticPr fontId="2" type="noConversion"/>
  </si>
  <si>
    <t>占销售净额的百分比</t>
    <phoneticPr fontId="2" type="noConversion"/>
  </si>
  <si>
    <t>退回、折让和折扣</t>
    <phoneticPr fontId="2" type="noConversion"/>
  </si>
  <si>
    <t>一般提示</t>
    <phoneticPr fontId="2" type="noConversion"/>
  </si>
  <si>
    <t>请不要在公式中进行四舍五入到整数-只需要调整Excel的显示设置即可。请注意，牛仔服饰公司使用的是标准成本法核算系统，并且将全部差异结转到销售成本中。</t>
    <phoneticPr fontId="2" type="noConversion"/>
  </si>
  <si>
    <t>固定的销售与管理费用:</t>
    <phoneticPr fontId="2" type="noConversion"/>
  </si>
  <si>
    <t>办公费</t>
    <phoneticPr fontId="2" type="noConversion"/>
  </si>
  <si>
    <t>总预算</t>
    <phoneticPr fontId="2" type="noConversion"/>
  </si>
  <si>
    <t>弹性预算</t>
    <phoneticPr fontId="2" type="noConversion"/>
  </si>
  <si>
    <t>实际结果</t>
    <phoneticPr fontId="2" type="noConversion"/>
  </si>
  <si>
    <t>预算单位产品的直接人工</t>
    <phoneticPr fontId="2" type="noConversion"/>
  </si>
  <si>
    <t>预算单位产品的变动间接费用</t>
    <phoneticPr fontId="2" type="noConversion"/>
  </si>
  <si>
    <t>预算单位产品的固定间接费用</t>
    <phoneticPr fontId="2" type="noConversion"/>
  </si>
  <si>
    <t>预算单位产品的总成本</t>
    <phoneticPr fontId="2" type="noConversion"/>
  </si>
  <si>
    <t>原材料库存</t>
    <phoneticPr fontId="2" type="noConversion"/>
  </si>
  <si>
    <t>期初原材料库存</t>
    <phoneticPr fontId="2" type="noConversion"/>
  </si>
  <si>
    <t>期末原材料库存</t>
    <phoneticPr fontId="2" type="noConversion"/>
  </si>
  <si>
    <t>转入在产品库存中的金额</t>
    <phoneticPr fontId="2" type="noConversion"/>
  </si>
  <si>
    <t>在产品库存</t>
    <phoneticPr fontId="2" type="noConversion"/>
  </si>
  <si>
    <t>期初在产品库存</t>
    <phoneticPr fontId="2" type="noConversion"/>
  </si>
  <si>
    <t>实际直接人工总成本（实际生产量*每件产品的实际工时*每小时实际费率）</t>
    <phoneticPr fontId="2" type="noConversion"/>
  </si>
  <si>
    <t>直接人工</t>
    <phoneticPr fontId="2" type="noConversion"/>
  </si>
  <si>
    <t>BBJ耗费的实际工时</t>
    <phoneticPr fontId="2" type="noConversion"/>
  </si>
  <si>
    <t>EBJ耗费的实际工时</t>
    <phoneticPr fontId="2" type="noConversion"/>
  </si>
  <si>
    <t>实际总工时</t>
    <phoneticPr fontId="2" type="noConversion"/>
  </si>
  <si>
    <t>实际直接人工成本总额</t>
    <phoneticPr fontId="2" type="noConversion"/>
  </si>
  <si>
    <t>期末在产品库存</t>
    <phoneticPr fontId="2" type="noConversion"/>
  </si>
  <si>
    <t>产成品库存</t>
    <phoneticPr fontId="2" type="noConversion"/>
  </si>
  <si>
    <t>生产成本</t>
    <phoneticPr fontId="2" type="noConversion"/>
  </si>
  <si>
    <t>合计</t>
    <phoneticPr fontId="2" type="noConversion"/>
  </si>
  <si>
    <t>期末产成品库存</t>
    <phoneticPr fontId="2" type="noConversion"/>
  </si>
  <si>
    <t>销售成本</t>
    <phoneticPr fontId="2" type="noConversion"/>
  </si>
  <si>
    <t>4. 总预算列中的生产成本和销售成本应根据预算的数量和标准单位成本计算。</t>
    <phoneticPr fontId="2" type="noConversion"/>
  </si>
  <si>
    <t>6.实际结果列中的生产成本和销售成本应根据实际采购金额、人工、变动间接费用和固定间接费用计算。这种方式下，所有的差异都结转到了销售成本中。</t>
    <phoneticPr fontId="2" type="noConversion"/>
  </si>
  <si>
    <t>变动间接费用</t>
    <phoneticPr fontId="2" type="noConversion"/>
  </si>
  <si>
    <t>存货账户中固定间接费用的变动</t>
    <phoneticPr fontId="2" type="noConversion"/>
  </si>
  <si>
    <t>有助于在边际贡献法和毛利法格式下进行利润的试算)</t>
    <phoneticPr fontId="2" type="noConversion"/>
  </si>
  <si>
    <t>期初产成品账户中包含的固定间接费用</t>
    <phoneticPr fontId="2" type="noConversion"/>
  </si>
  <si>
    <t>期初产成品库存</t>
    <phoneticPr fontId="2" type="noConversion"/>
  </si>
  <si>
    <t>销售成本计算的详细过程（边际贡献法格式）</t>
    <phoneticPr fontId="2" type="noConversion"/>
  </si>
  <si>
    <t>预算单位产品的直接材料</t>
    <phoneticPr fontId="2" type="noConversion"/>
  </si>
  <si>
    <t>预算单位产品的变动生产成本</t>
    <phoneticPr fontId="2" type="noConversion"/>
  </si>
  <si>
    <t>转入在产品库存的金额</t>
    <phoneticPr fontId="2" type="noConversion"/>
  </si>
  <si>
    <t>直接人工</t>
    <phoneticPr fontId="2" type="noConversion"/>
  </si>
  <si>
    <t>实际每小时费率</t>
    <phoneticPr fontId="2" type="noConversion"/>
  </si>
  <si>
    <t>期末在产品库存</t>
    <phoneticPr fontId="2" type="noConversion"/>
  </si>
  <si>
    <t>生产成本</t>
    <phoneticPr fontId="2" type="noConversion"/>
  </si>
  <si>
    <t>期末产成品库存</t>
    <phoneticPr fontId="2" type="noConversion"/>
  </si>
  <si>
    <t>注释</t>
    <phoneticPr fontId="2" type="noConversion"/>
  </si>
  <si>
    <t>1. 请记住牛仔服饰公司不存在任何的期初与期末在产品库存。</t>
    <phoneticPr fontId="2" type="noConversion"/>
  </si>
  <si>
    <t>2. 由于牛仔服饰公司采用的是标准成本法，因此期初和期末产成品账户都是标准成本。</t>
    <phoneticPr fontId="2" type="noConversion"/>
  </si>
  <si>
    <t>弹性预算</t>
    <phoneticPr fontId="2" type="noConversion"/>
  </si>
  <si>
    <t>3.毛利法（边际贡献法）格式下产成品的单位成本应该包括（排除）固定间接费用</t>
    <phoneticPr fontId="2" type="noConversion"/>
  </si>
  <si>
    <t>原材料库存</t>
    <phoneticPr fontId="2" type="noConversion"/>
  </si>
  <si>
    <t>5.弹性预算列中的生产成本和销售成本应根据实际生产和销售量与标准单位成本计算。</t>
    <phoneticPr fontId="2" type="noConversion"/>
  </si>
  <si>
    <t>完成后请隐藏这些列。</t>
    <phoneticPr fontId="2" type="noConversion"/>
  </si>
  <si>
    <t>期初在产品库存</t>
    <phoneticPr fontId="2" type="noConversion"/>
  </si>
  <si>
    <t>固定间接费用</t>
    <phoneticPr fontId="2" type="noConversion"/>
  </si>
  <si>
    <t>存货账户中固定间接费用的变动</t>
    <phoneticPr fontId="2" type="noConversion"/>
  </si>
  <si>
    <t>边际贡献法利润表</t>
    <phoneticPr fontId="2" type="noConversion"/>
  </si>
  <si>
    <t>每件售价</t>
    <phoneticPr fontId="2" type="noConversion"/>
  </si>
  <si>
    <t>销售收入</t>
    <phoneticPr fontId="2" type="noConversion"/>
  </si>
  <si>
    <t>单位产品的退回、折让和折扣</t>
    <phoneticPr fontId="2" type="noConversion"/>
  </si>
  <si>
    <t>单位产品的销售净价</t>
    <phoneticPr fontId="2" type="noConversion"/>
  </si>
  <si>
    <t>销售净额</t>
    <phoneticPr fontId="2" type="noConversion"/>
  </si>
  <si>
    <t>单位产品的变动生产成本</t>
    <phoneticPr fontId="2" type="noConversion"/>
  </si>
  <si>
    <t>变动销售成本</t>
    <phoneticPr fontId="2" type="noConversion"/>
  </si>
  <si>
    <t>单位产品的变动销售与管理费用</t>
    <phoneticPr fontId="2" type="noConversion"/>
  </si>
  <si>
    <t>变动销售与管理费用</t>
    <phoneticPr fontId="2" type="noConversion"/>
  </si>
  <si>
    <t>单位边际贡献</t>
    <phoneticPr fontId="2" type="noConversion"/>
  </si>
  <si>
    <t>边际贡献</t>
    <phoneticPr fontId="2" type="noConversion"/>
  </si>
  <si>
    <t>固定间接费用</t>
    <phoneticPr fontId="2" type="noConversion"/>
  </si>
  <si>
    <t>预算存货变动（件）</t>
    <phoneticPr fontId="2" type="noConversion"/>
  </si>
  <si>
    <t>固定销售与管理费用</t>
    <phoneticPr fontId="2" type="noConversion"/>
  </si>
  <si>
    <t>利润</t>
    <phoneticPr fontId="2" type="noConversion"/>
  </si>
  <si>
    <t>预算生产量（件）</t>
    <phoneticPr fontId="2" type="noConversion"/>
  </si>
  <si>
    <t>毛利法利润表</t>
    <phoneticPr fontId="2" type="noConversion"/>
  </si>
  <si>
    <t>预算销售量（件）</t>
    <phoneticPr fontId="2" type="noConversion"/>
  </si>
  <si>
    <t>预算存货变动（件）</t>
    <phoneticPr fontId="2" type="noConversion"/>
  </si>
  <si>
    <t>实际结果</t>
    <phoneticPr fontId="2" type="noConversion"/>
  </si>
  <si>
    <t>实际存货变动（件）</t>
    <phoneticPr fontId="2" type="noConversion"/>
  </si>
  <si>
    <t>退回、折让和折扣</t>
    <phoneticPr fontId="2" type="noConversion"/>
  </si>
  <si>
    <t>销售净额</t>
    <phoneticPr fontId="2" type="noConversion"/>
  </si>
  <si>
    <t>实际生产量（件</t>
    <phoneticPr fontId="2" type="noConversion"/>
  </si>
  <si>
    <t>变动销售成本</t>
    <phoneticPr fontId="2" type="noConversion"/>
  </si>
  <si>
    <t>实际销售量（件）</t>
    <phoneticPr fontId="2" type="noConversion"/>
  </si>
  <si>
    <t>毛利</t>
    <phoneticPr fontId="2" type="noConversion"/>
  </si>
  <si>
    <t>边际贡献法格式和毛利法格式下利润的试算调整</t>
    <phoneticPr fontId="2" type="noConversion"/>
  </si>
  <si>
    <t>边际贡献法格式下的利润</t>
    <phoneticPr fontId="2" type="noConversion"/>
  </si>
  <si>
    <t>生产量差异</t>
    <phoneticPr fontId="2" type="noConversion"/>
  </si>
  <si>
    <t>毛利法格式下的利润</t>
    <phoneticPr fontId="2" type="noConversion"/>
  </si>
  <si>
    <t>试算检验</t>
    <phoneticPr fontId="2" type="noConversion"/>
  </si>
  <si>
    <t>差异计算</t>
    <phoneticPr fontId="2" type="noConversion"/>
  </si>
  <si>
    <t>所有产品实际销售数量</t>
    <phoneticPr fontId="2" type="noConversion"/>
  </si>
  <si>
    <t>实际销售组合百分比</t>
    <phoneticPr fontId="2" type="noConversion"/>
  </si>
  <si>
    <t>注释:将公式中的正值设定为有利(F)差异，负值设定为不利(U)差异。模板的设置让这很容易完成。</t>
    <phoneticPr fontId="2" type="noConversion"/>
  </si>
  <si>
    <t>所有产品实际销售数量</t>
    <phoneticPr fontId="2" type="noConversion"/>
  </si>
  <si>
    <t>所有产品预算销售数量</t>
    <phoneticPr fontId="2" type="noConversion"/>
  </si>
  <si>
    <t>预算单位产品的边际贡献</t>
    <phoneticPr fontId="2" type="noConversion"/>
  </si>
  <si>
    <t>销售量差异</t>
    <phoneticPr fontId="2" type="noConversion"/>
  </si>
  <si>
    <t>实际销售额</t>
    <phoneticPr fontId="2" type="noConversion"/>
  </si>
  <si>
    <t>合计</t>
    <phoneticPr fontId="2" type="noConversion"/>
  </si>
  <si>
    <t>每件实际价格</t>
    <phoneticPr fontId="2" type="noConversion"/>
  </si>
  <si>
    <t>采购价格差异</t>
    <phoneticPr fontId="2" type="noConversion"/>
  </si>
  <si>
    <t>合计</t>
    <phoneticPr fontId="2" type="noConversion"/>
  </si>
  <si>
    <t>材料效率差异</t>
    <phoneticPr fontId="2" type="noConversion"/>
  </si>
  <si>
    <t>实际生产的标准用量</t>
    <phoneticPr fontId="2" type="noConversion"/>
  </si>
  <si>
    <t>实际生产的实际用量</t>
    <phoneticPr fontId="2" type="noConversion"/>
  </si>
  <si>
    <t>合计</t>
    <phoneticPr fontId="2" type="noConversion"/>
  </si>
  <si>
    <t>人工费率差异</t>
    <phoneticPr fontId="2" type="noConversion"/>
  </si>
  <si>
    <t>实际工时总额</t>
    <phoneticPr fontId="2" type="noConversion"/>
  </si>
  <si>
    <t>每小时实际费率</t>
    <phoneticPr fontId="2" type="noConversion"/>
  </si>
  <si>
    <t>实际生产的标准工时</t>
    <phoneticPr fontId="2" type="noConversion"/>
  </si>
  <si>
    <t>实际生产的实际工时</t>
    <phoneticPr fontId="2" type="noConversion"/>
  </si>
  <si>
    <t>每小时的标准费率</t>
    <phoneticPr fontId="2" type="noConversion"/>
  </si>
  <si>
    <t>人工效率差异</t>
    <phoneticPr fontId="2" type="noConversion"/>
  </si>
  <si>
    <t>合计</t>
    <phoneticPr fontId="2" type="noConversion"/>
  </si>
  <si>
    <t>变动间接费用的效率差异</t>
    <phoneticPr fontId="2" type="noConversion"/>
  </si>
  <si>
    <t>每小时的标准费率</t>
    <phoneticPr fontId="2" type="noConversion"/>
  </si>
  <si>
    <t>裁减（小时数）</t>
    <phoneticPr fontId="2" type="noConversion"/>
  </si>
  <si>
    <t>组装（小时数）</t>
    <phoneticPr fontId="2" type="noConversion"/>
  </si>
  <si>
    <t>实际成本</t>
    <phoneticPr fontId="2" type="noConversion"/>
  </si>
  <si>
    <t>变动间接费用</t>
    <phoneticPr fontId="2" type="noConversion"/>
  </si>
  <si>
    <t>分摊的固定间接费用</t>
    <phoneticPr fontId="2" type="noConversion"/>
  </si>
  <si>
    <t>固定间接费用的生产量差异</t>
    <phoneticPr fontId="2" type="noConversion"/>
  </si>
  <si>
    <t>固定间接费用的支出差异</t>
    <phoneticPr fontId="2" type="noConversion"/>
  </si>
  <si>
    <t>预算</t>
    <phoneticPr fontId="2" type="noConversion"/>
  </si>
  <si>
    <t>固定间接费用支出差异</t>
    <phoneticPr fontId="2" type="noConversion"/>
  </si>
  <si>
    <t xml:space="preserve">
根据预算费率和预算销售价格计算得到的成本（弹性预算）</t>
    <phoneticPr fontId="2" type="noConversion"/>
  </si>
  <si>
    <t>根据预算费率和实际销售价格计算得到的成本</t>
    <phoneticPr fontId="2" type="noConversion"/>
  </si>
  <si>
    <t>退回、折让和折扣</t>
    <phoneticPr fontId="2" type="noConversion"/>
  </si>
  <si>
    <t>固定销售与管理费用支出差异</t>
    <phoneticPr fontId="2" type="noConversion"/>
  </si>
  <si>
    <t>实际</t>
    <phoneticPr fontId="2" type="noConversion"/>
  </si>
  <si>
    <t>销售组合差异</t>
    <phoneticPr fontId="2" type="noConversion"/>
  </si>
  <si>
    <t>销售价格差异</t>
    <phoneticPr fontId="2" type="noConversion"/>
  </si>
  <si>
    <t>销售差异合计</t>
    <phoneticPr fontId="2" type="noConversion"/>
  </si>
  <si>
    <t>生产成本差异汇总</t>
    <phoneticPr fontId="2" type="noConversion"/>
  </si>
  <si>
    <t>采购价格差异</t>
    <phoneticPr fontId="2" type="noConversion"/>
  </si>
  <si>
    <t>人工费率差异</t>
    <phoneticPr fontId="2" type="noConversion"/>
  </si>
  <si>
    <t>人工效率差异</t>
    <phoneticPr fontId="2" type="noConversion"/>
  </si>
  <si>
    <t>变动间接费用效率差异</t>
    <phoneticPr fontId="2" type="noConversion"/>
  </si>
  <si>
    <t>生产量差异</t>
    <phoneticPr fontId="2" type="noConversion"/>
  </si>
  <si>
    <t>固定间接费用支出差异</t>
    <phoneticPr fontId="2" type="noConversion"/>
  </si>
  <si>
    <t>生产成本差异合计</t>
    <phoneticPr fontId="2" type="noConversion"/>
  </si>
  <si>
    <t>销售与管理费用差异汇总</t>
    <phoneticPr fontId="2" type="noConversion"/>
  </si>
  <si>
    <t>理解固定间接费用的流转</t>
    <phoneticPr fontId="2" type="noConversion"/>
  </si>
  <si>
    <t>总预算</t>
    <phoneticPr fontId="2" type="noConversion"/>
  </si>
  <si>
    <t>弹性预算</t>
    <phoneticPr fontId="2" type="noConversion"/>
  </si>
  <si>
    <t>实际结果</t>
    <phoneticPr fontId="2" type="noConversion"/>
  </si>
  <si>
    <t>销售净额</t>
    <phoneticPr fontId="2" type="noConversion"/>
  </si>
  <si>
    <t>生产成本（按标准成本计算）</t>
    <phoneticPr fontId="2" type="noConversion"/>
  </si>
  <si>
    <t>成本差异之和（见下一个工作表）</t>
    <phoneticPr fontId="2" type="noConversion"/>
  </si>
  <si>
    <t>销售成本中包含的固定间接费用（按标准成本计入）</t>
    <phoneticPr fontId="2" type="noConversion"/>
  </si>
  <si>
    <t>毛利</t>
    <phoneticPr fontId="2" type="noConversion"/>
  </si>
  <si>
    <t>生产量差异中包含的固定间接费用</t>
    <phoneticPr fontId="2" type="noConversion"/>
  </si>
  <si>
    <t>计入存货中的固定间接费用</t>
    <phoneticPr fontId="2" type="noConversion"/>
  </si>
  <si>
    <t>利润</t>
    <phoneticPr fontId="2" type="noConversion"/>
  </si>
  <si>
    <t>试算检验</t>
    <phoneticPr fontId="2" type="noConversion"/>
  </si>
  <si>
    <t>注释：边际贡献法格式下的固定间接费用合计数应正好等于毛利法格式下的第三行的数值</t>
    <phoneticPr fontId="2" type="noConversion"/>
  </si>
  <si>
    <t>边际贡献法利润表</t>
    <phoneticPr fontId="2" type="noConversion"/>
  </si>
  <si>
    <t>变动生产成本（弹性预算）</t>
    <phoneticPr fontId="2" type="noConversion"/>
  </si>
  <si>
    <t>生产成本（弹性预算）</t>
    <phoneticPr fontId="2" type="noConversion"/>
  </si>
  <si>
    <t>变动生产成本（实际结果）</t>
    <phoneticPr fontId="2" type="noConversion"/>
  </si>
  <si>
    <t>生产成本（实际结果）</t>
    <phoneticPr fontId="2" type="noConversion"/>
  </si>
  <si>
    <t>差额</t>
    <phoneticPr fontId="2" type="noConversion"/>
  </si>
  <si>
    <t>成本差异总额</t>
    <phoneticPr fontId="2" type="noConversion"/>
  </si>
  <si>
    <t>生产量差异</t>
    <phoneticPr fontId="2" type="noConversion"/>
  </si>
  <si>
    <t>总预算和弹性预算利润的另一种试算方法（毛利法格式）</t>
    <phoneticPr fontId="2" type="noConversion"/>
  </si>
  <si>
    <t>毛利法格式下总预算所报告的利润</t>
    <phoneticPr fontId="2" type="noConversion"/>
  </si>
  <si>
    <t>变动生产成本差异总额</t>
    <phoneticPr fontId="2" type="noConversion"/>
  </si>
  <si>
    <t>存货中固定间接费用的变动</t>
    <phoneticPr fontId="2" type="noConversion"/>
  </si>
  <si>
    <t>生产量差异</t>
    <phoneticPr fontId="2" type="noConversion"/>
  </si>
  <si>
    <t>毛利法格式下弹性预算所报告的利润</t>
    <phoneticPr fontId="2" type="noConversion"/>
  </si>
  <si>
    <t>含义：生产成本差异是指生产产品的成本</t>
    <phoneticPr fontId="2" type="noConversion"/>
  </si>
  <si>
    <t>预算数与实际数的试算</t>
    <phoneticPr fontId="2" type="noConversion"/>
  </si>
  <si>
    <t>主表</t>
    <phoneticPr fontId="2" type="noConversion"/>
  </si>
  <si>
    <t>边际贡献法格式</t>
    <phoneticPr fontId="2" type="noConversion"/>
  </si>
  <si>
    <t>销售差异</t>
    <phoneticPr fontId="2" type="noConversion"/>
  </si>
  <si>
    <t>见（a）</t>
    <phoneticPr fontId="2" type="noConversion"/>
  </si>
  <si>
    <t>变动生产成本差异</t>
    <phoneticPr fontId="2" type="noConversion"/>
  </si>
  <si>
    <t>见（b）</t>
    <phoneticPr fontId="2" type="noConversion"/>
  </si>
  <si>
    <t>固定生产成本差异</t>
    <phoneticPr fontId="2" type="noConversion"/>
  </si>
  <si>
    <t>见 (d) 和 (e)</t>
    <phoneticPr fontId="2" type="noConversion"/>
  </si>
  <si>
    <t>见销售成本计算工作表</t>
    <phoneticPr fontId="2" type="noConversion"/>
  </si>
  <si>
    <t>实际结果中报告的利润</t>
    <phoneticPr fontId="2" type="noConversion"/>
  </si>
  <si>
    <t>利润表工作表中的实际利润</t>
    <phoneticPr fontId="2" type="noConversion"/>
  </si>
  <si>
    <t>销售组合差异</t>
    <phoneticPr fontId="2" type="noConversion"/>
  </si>
  <si>
    <t>销售数量差异</t>
    <phoneticPr fontId="2" type="noConversion"/>
  </si>
  <si>
    <t>销售量差异</t>
    <phoneticPr fontId="2" type="noConversion"/>
  </si>
  <si>
    <t>材料差异</t>
    <phoneticPr fontId="2" type="noConversion"/>
  </si>
  <si>
    <t>人工差异</t>
    <phoneticPr fontId="2" type="noConversion"/>
  </si>
  <si>
    <t>变动间接费用差异</t>
    <phoneticPr fontId="2" type="noConversion"/>
  </si>
  <si>
    <t>固定间接费用差异</t>
    <phoneticPr fontId="2" type="noConversion"/>
  </si>
  <si>
    <t>固定间接费用支出差异</t>
    <phoneticPr fontId="2" type="noConversion"/>
  </si>
  <si>
    <t>变动销售与管理费用差异</t>
    <phoneticPr fontId="2" type="noConversion"/>
  </si>
  <si>
    <t>销售成本（退回、折让和折扣）差异</t>
    <phoneticPr fontId="2" type="noConversion"/>
  </si>
  <si>
    <t>销售佣金差异</t>
    <phoneticPr fontId="2" type="noConversion"/>
  </si>
  <si>
    <t>坏账</t>
    <phoneticPr fontId="2" type="noConversion"/>
  </si>
  <si>
    <t>固定销售与管理费用差异</t>
    <phoneticPr fontId="2" type="noConversion"/>
  </si>
  <si>
    <t>固定销售与管理费用支出差异</t>
    <phoneticPr fontId="2" type="noConversion"/>
  </si>
  <si>
    <t>预算利润</t>
    <phoneticPr fontId="2" type="noConversion"/>
  </si>
  <si>
    <t>实际利润</t>
    <phoneticPr fontId="2" type="noConversion"/>
  </si>
  <si>
    <t>销售价格差异</t>
    <phoneticPr fontId="2" type="noConversion"/>
  </si>
  <si>
    <t>销售与管理费用差异</t>
    <phoneticPr fontId="2" type="noConversion"/>
  </si>
  <si>
    <t>销售差异</t>
    <phoneticPr fontId="2" type="noConversion"/>
  </si>
  <si>
    <t>产品</t>
    <phoneticPr fontId="2" type="noConversion"/>
  </si>
  <si>
    <t>差异水平2</t>
    <phoneticPr fontId="2" type="noConversion"/>
  </si>
  <si>
    <t>金额</t>
    <phoneticPr fontId="2" type="noConversion"/>
  </si>
  <si>
    <t>注释：创建初始透视图之后，请使用图表中的灰色下拉菜单查看如何交互式地使用透视图。例如，从“产品”下拉菜单中选择BBJ可以查看对应BBJ的图表。</t>
    <phoneticPr fontId="2" type="noConversion"/>
  </si>
  <si>
    <t>亮片饰物</t>
    <phoneticPr fontId="2" type="noConversion"/>
  </si>
  <si>
    <t>拉链</t>
    <phoneticPr fontId="2" type="noConversion"/>
  </si>
  <si>
    <t>针线</t>
    <phoneticPr fontId="2" type="noConversion"/>
  </si>
  <si>
    <t>亮片饰物</t>
    <phoneticPr fontId="2" type="noConversion"/>
  </si>
  <si>
    <t>注释：创建初始透视图之后，请使用图表中的灰色下拉菜单查看如何交互式地使用透视图。例如，从“产品”下拉菜单中选择BBJ可以查看对应BBJ的图表。</t>
    <phoneticPr fontId="2" type="noConversion"/>
  </si>
  <si>
    <t>直接材料差异</t>
    <phoneticPr fontId="2" type="noConversion"/>
  </si>
  <si>
    <t>金额</t>
    <phoneticPr fontId="2" type="noConversion"/>
  </si>
  <si>
    <t>合计</t>
    <phoneticPr fontId="2" type="noConversion"/>
  </si>
  <si>
    <t>牛仔布</t>
    <phoneticPr fontId="2" type="noConversion"/>
  </si>
  <si>
    <t>亮片饰物</t>
    <phoneticPr fontId="2" type="noConversion"/>
  </si>
  <si>
    <t>牛仔布</t>
    <phoneticPr fontId="2" type="noConversion"/>
  </si>
  <si>
    <t>拉链</t>
    <phoneticPr fontId="2" type="noConversion"/>
  </si>
  <si>
    <t>针线</t>
    <phoneticPr fontId="2" type="noConversion"/>
  </si>
  <si>
    <t>合计</t>
    <phoneticPr fontId="2" type="noConversion"/>
  </si>
  <si>
    <t>资源</t>
    <phoneticPr fontId="2" type="noConversion"/>
  </si>
  <si>
    <t>差异</t>
    <phoneticPr fontId="2" type="noConversion"/>
  </si>
  <si>
    <t>牛仔布</t>
    <phoneticPr fontId="2" type="noConversion"/>
  </si>
  <si>
    <t>合计</t>
    <phoneticPr fontId="2" type="noConversion"/>
  </si>
  <si>
    <t>针线</t>
    <phoneticPr fontId="2" type="noConversion"/>
  </si>
  <si>
    <t>刺绣</t>
    <phoneticPr fontId="2" type="noConversion"/>
  </si>
  <si>
    <t>费率差异</t>
    <phoneticPr fontId="2" type="noConversion"/>
  </si>
  <si>
    <t>刺绣</t>
    <phoneticPr fontId="2" type="noConversion"/>
  </si>
  <si>
    <t>效率差异</t>
    <phoneticPr fontId="2" type="noConversion"/>
  </si>
  <si>
    <t>裁减</t>
    <phoneticPr fontId="2" type="noConversion"/>
  </si>
  <si>
    <t>装饰</t>
    <phoneticPr fontId="2" type="noConversion"/>
  </si>
  <si>
    <t>直接人工差异</t>
    <phoneticPr fontId="2" type="noConversion"/>
  </si>
  <si>
    <t>裁减</t>
    <phoneticPr fontId="2" type="noConversion"/>
  </si>
  <si>
    <t>金额</t>
    <phoneticPr fontId="2" type="noConversion"/>
  </si>
  <si>
    <t>装饰</t>
    <phoneticPr fontId="2" type="noConversion"/>
  </si>
  <si>
    <t>合计</t>
    <phoneticPr fontId="2" type="noConversion"/>
  </si>
  <si>
    <t>费率差异</t>
    <phoneticPr fontId="2" type="noConversion"/>
  </si>
  <si>
    <t>效率差异</t>
    <phoneticPr fontId="2" type="noConversion"/>
  </si>
  <si>
    <t>注释：创建初始透视图之后，请使用图表中的灰色下拉菜单查看如何交互式地使用透视图。例如，从“产品”下拉菜单中选择BBJ可以查看对应BBJ的图表。</t>
    <phoneticPr fontId="2" type="noConversion"/>
  </si>
  <si>
    <t>差异</t>
    <phoneticPr fontId="2" type="noConversion"/>
  </si>
  <si>
    <t>费率差异</t>
    <phoneticPr fontId="2" type="noConversion"/>
  </si>
  <si>
    <t>刺绣</t>
    <phoneticPr fontId="2" type="noConversion"/>
  </si>
  <si>
    <t>组装</t>
    <phoneticPr fontId="2" type="noConversion"/>
  </si>
  <si>
    <t>支出差异</t>
    <phoneticPr fontId="2" type="noConversion"/>
  </si>
  <si>
    <t>间接费用差异</t>
    <phoneticPr fontId="2" type="noConversion"/>
  </si>
  <si>
    <t>差异水平1</t>
    <phoneticPr fontId="2" type="noConversion"/>
  </si>
  <si>
    <t>差异水平2</t>
    <phoneticPr fontId="2" type="noConversion"/>
  </si>
  <si>
    <t>支出差异</t>
    <phoneticPr fontId="2" type="noConversion"/>
  </si>
  <si>
    <t>支出差异</t>
    <phoneticPr fontId="2" type="noConversion"/>
  </si>
  <si>
    <t>变动间接费用</t>
    <phoneticPr fontId="2" type="noConversion"/>
  </si>
  <si>
    <t>固定间接费用</t>
    <phoneticPr fontId="2" type="noConversion"/>
  </si>
  <si>
    <t>数量差异</t>
    <phoneticPr fontId="2" type="noConversion"/>
  </si>
  <si>
    <t>固定间接费用</t>
    <phoneticPr fontId="2" type="noConversion"/>
  </si>
  <si>
    <t>注释：创建初始透视图之后，请使用图表中的灰色下拉菜单查看如何交互式地使用透视图。例如，从“差异水平1”下拉菜单中选择固定间接费用可以查看对应固定间接费用的图表。</t>
    <phoneticPr fontId="2" type="noConversion"/>
  </si>
  <si>
    <t>固定销售与管理费用差异</t>
    <phoneticPr fontId="2" type="noConversion"/>
  </si>
  <si>
    <t>异水平2</t>
    <phoneticPr fontId="2" type="noConversion"/>
  </si>
  <si>
    <t>变动销售与管理费用差异</t>
    <phoneticPr fontId="2" type="noConversion"/>
  </si>
  <si>
    <t>费率差异</t>
    <phoneticPr fontId="2" type="noConversion"/>
  </si>
  <si>
    <t>销售与管理费用差异</t>
    <phoneticPr fontId="2" type="noConversion"/>
  </si>
  <si>
    <t>差异水平1</t>
    <phoneticPr fontId="2" type="noConversion"/>
  </si>
  <si>
    <t>金额</t>
    <phoneticPr fontId="2" type="noConversion"/>
  </si>
  <si>
    <t>支出差异</t>
    <phoneticPr fontId="2" type="noConversion"/>
  </si>
  <si>
    <t>注释：创建初始透视图之后，请使用图表中的灰色下拉菜单查看如何交互式地使用透视图。例如，从“差异水平1”下拉菜单中选择固定销售与管理费用可以查看对应固定销售与管理费用的图表。</t>
    <phoneticPr fontId="2" type="noConversion"/>
  </si>
  <si>
    <t>牛仔布</t>
    <phoneticPr fontId="2" type="noConversion"/>
  </si>
  <si>
    <t>合计</t>
    <phoneticPr fontId="2" type="noConversion"/>
  </si>
  <si>
    <t>牛仔布</t>
    <phoneticPr fontId="2" type="noConversion"/>
  </si>
  <si>
    <t>针线</t>
    <phoneticPr fontId="2" type="noConversion"/>
  </si>
  <si>
    <t>费率差异</t>
    <phoneticPr fontId="2" type="noConversion"/>
  </si>
  <si>
    <t>费率差异</t>
    <phoneticPr fontId="2" type="noConversion"/>
  </si>
  <si>
    <t>合计</t>
    <phoneticPr fontId="2" type="noConversion"/>
  </si>
  <si>
    <t>组装</t>
    <phoneticPr fontId="2" type="noConversion"/>
  </si>
  <si>
    <t>效率差异</t>
    <phoneticPr fontId="2" type="noConversion"/>
  </si>
  <si>
    <t>裁减</t>
    <phoneticPr fontId="2" type="noConversion"/>
  </si>
  <si>
    <t>刺绣</t>
    <phoneticPr fontId="2" type="noConversion"/>
  </si>
  <si>
    <t>装饰</t>
    <phoneticPr fontId="2" type="noConversion"/>
  </si>
  <si>
    <t>效率差异</t>
    <phoneticPr fontId="2" type="noConversion"/>
  </si>
  <si>
    <t>组装</t>
    <phoneticPr fontId="2" type="noConversion"/>
  </si>
  <si>
    <t>变动间接费用</t>
    <phoneticPr fontId="2" type="noConversion"/>
  </si>
  <si>
    <t>固定间接费用</t>
    <phoneticPr fontId="2" type="noConversion"/>
  </si>
  <si>
    <t>数量差异</t>
    <phoneticPr fontId="2" type="noConversion"/>
  </si>
  <si>
    <t>合计</t>
    <phoneticPr fontId="2" type="noConversion"/>
  </si>
  <si>
    <t>类别</t>
    <phoneticPr fontId="2" type="noConversion"/>
  </si>
  <si>
    <t>工序</t>
    <phoneticPr fontId="2" type="noConversion"/>
  </si>
  <si>
    <t>金额</t>
    <phoneticPr fontId="2" type="noConversion"/>
  </si>
  <si>
    <t>注释：如果你选择使用Tableau绘制差异图表而非使用Excel，那么可以将这些数据上传到Tableau 。</t>
    <phoneticPr fontId="2" type="noConversion"/>
  </si>
  <si>
    <t>在上传数据之前，请删除这条注释。</t>
    <phoneticPr fontId="2" type="noConversion"/>
  </si>
  <si>
    <t>合计</t>
    <phoneticPr fontId="2" type="noConversion"/>
  </si>
  <si>
    <t>牛仔布</t>
    <phoneticPr fontId="2" type="noConversion"/>
  </si>
  <si>
    <t>拉链</t>
    <phoneticPr fontId="2" type="noConversion"/>
  </si>
  <si>
    <t>支出差异</t>
    <phoneticPr fontId="2" type="noConversion"/>
  </si>
  <si>
    <t>拉链</t>
    <phoneticPr fontId="2" type="noConversion"/>
  </si>
  <si>
    <t>亮片饰物</t>
    <phoneticPr fontId="2" type="noConversion"/>
  </si>
  <si>
    <t>费率差异</t>
    <phoneticPr fontId="2" type="noConversion"/>
  </si>
  <si>
    <t>变动间接费用</t>
    <phoneticPr fontId="2" type="noConversion"/>
  </si>
  <si>
    <t>变动销售与管理费用差异</t>
    <phoneticPr fontId="2" type="noConversion"/>
  </si>
  <si>
    <t>资源</t>
    <phoneticPr fontId="2" type="noConversion"/>
  </si>
  <si>
    <t>2差异水平2</t>
    <phoneticPr fontId="2" type="noConversion"/>
  </si>
  <si>
    <t>固定间接费用</t>
    <phoneticPr fontId="2" type="noConversion"/>
  </si>
  <si>
    <t>差异水平1</t>
    <phoneticPr fontId="2" type="noConversion"/>
  </si>
  <si>
    <t>针线</t>
    <phoneticPr fontId="2" type="noConversion"/>
  </si>
  <si>
    <t>针线</t>
    <phoneticPr fontId="2" type="noConversion"/>
  </si>
  <si>
    <t>效率差异</t>
    <phoneticPr fontId="2" type="noConversion"/>
  </si>
  <si>
    <t>变动销售与管理费用差异</t>
    <phoneticPr fontId="2" type="noConversion"/>
  </si>
  <si>
    <t>效率差异</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</si>
</sst>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_(* \(#,##0\);_(* &quot;-&quot;??_);_(@_)"/>
    <numFmt numFmtId="177" formatCode="&quot;$&quot;#,##0.00_);[Red]\(&quot;$&quot;#,##0.00\)"/>
    <numFmt numFmtId="178" formatCode="_(&quot;$&quot;* #,##0_);_(&quot;$&quot;* \(#,##0\);_(&quot;$&quot;* &quot;-&quot;??_);_(@_)"/>
    <numFmt numFmtId="179" formatCode="_(&quot;$&quot;* #,##0.00_);_(&quot;$&quot;* \(#,##0.00\);_(&quot;$&quot;* &quot;-&quot;??_);_(@_)"/>
    <numFmt numFmtId="180" formatCode="_(* #,##0.00_);_(* \(#,##0.00\);_(* &quot;-&quot;??_);_(@_)"/>
    <numFmt numFmtId="181" formatCode="&quot;$&quot;#,##0_);[Red]\(&quot;$&quot;#,##0\)"/>
  </numFmts>
  <fonts count="17" x14ac:knownFonts="1">
    <font>
      <sz val="11"/>
      <color theme="1"/>
      <name val="等线"/>
      <charset val="134"/>
      <scheme val="minor"/>
    </font>
    <font>
      <sz val="11"/>
      <color theme="1"/>
      <name val="等线"/>
      <family val="3"/>
      <charset val="134"/>
      <scheme val="minor"/>
    </font>
    <font>
      <sz val="9"/>
      <name val="等线"/>
      <family val="3"/>
      <charset val="134"/>
      <scheme val="minor"/>
    </font>
    <font>
      <b/>
      <sz val="14"/>
      <name val="华文楷体"/>
      <family val="3"/>
      <charset val="134"/>
    </font>
    <font>
      <sz val="11"/>
      <name val="华文楷体"/>
      <family val="3"/>
      <charset val="134"/>
    </font>
    <font>
      <b/>
      <sz val="11"/>
      <name val="华文楷体"/>
      <family val="3"/>
      <charset val="134"/>
    </font>
    <font>
      <b/>
      <i/>
      <sz val="14"/>
      <name val="华文楷体"/>
      <family val="3"/>
      <charset val="134"/>
    </font>
    <font>
      <b/>
      <i/>
      <sz val="11"/>
      <name val="华文楷体"/>
      <family val="3"/>
      <charset val="134"/>
    </font>
    <font>
      <b/>
      <sz val="12"/>
      <name val="华文楷体"/>
      <family val="3"/>
      <charset val="134"/>
    </font>
    <font>
      <sz val="10.5"/>
      <name val="华文楷体"/>
      <family val="3"/>
      <charset val="134"/>
    </font>
    <font>
      <sz val="11"/>
      <color theme="1"/>
      <name val="华文楷体"/>
      <family val="3"/>
      <charset val="134"/>
    </font>
    <font>
      <b/>
      <i/>
      <sz val="11"/>
      <color theme="1"/>
      <name val="华文楷体"/>
      <family val="3"/>
      <charset val="134"/>
    </font>
    <font>
      <b/>
      <sz val="11"/>
      <color theme="1"/>
      <name val="华文楷体"/>
      <family val="3"/>
      <charset val="134"/>
    </font>
    <font>
      <b/>
      <sz val="11"/>
      <color rgb="FFFF0000"/>
      <name val="华文楷体"/>
      <family val="3"/>
      <charset val="134"/>
    </font>
    <font>
      <sz val="11"/>
      <color theme="0"/>
      <name val="华文楷体"/>
      <family val="3"/>
      <charset val="134"/>
    </font>
    <font>
      <sz val="11"/>
      <color rgb="FFFF0000"/>
      <name val="华文楷体"/>
      <family val="3"/>
      <charset val="134"/>
    </font>
    <font>
      <sz val="11"/>
      <color rgb="FF000000"/>
      <name val="华文楷体"/>
      <family val="3"/>
      <charset val="134"/>
    </font>
  </fonts>
  <fills count="7">
    <fill>
      <patternFill patternType="none"/>
    </fill>
    <fill>
      <patternFill patternType="gray125"/>
    </fill>
    <fill>
      <patternFill patternType="solid">
        <fgColor theme="9" tint="0.59999389629810485"/>
        <bgColor indexed="64"/>
      </patternFill>
    </fill>
    <fill>
      <patternFill patternType="solid">
        <fgColor theme="7" tint="0.79995117038483843"/>
        <bgColor indexed="64"/>
      </patternFill>
    </fill>
    <fill>
      <patternFill patternType="solid">
        <fgColor theme="9" tint="0.79995117038483843"/>
        <bgColor indexed="64"/>
      </patternFill>
    </fill>
    <fill>
      <patternFill patternType="solid">
        <fgColor theme="8" tint="0.79995117038483843"/>
        <bgColor indexed="64"/>
      </patternFill>
    </fill>
    <fill>
      <patternFill patternType="solid">
        <fgColor theme="0"/>
        <bgColor indexed="64"/>
      </patternFill>
    </fill>
  </fills>
  <borders count="30">
    <border>
      <left/>
      <right/>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right/>
      <top style="thin">
        <color auto="1"/>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style="medium">
        <color auto="1"/>
      </right>
      <top/>
      <bottom style="medium">
        <color auto="1"/>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top style="thin">
        <color auto="1"/>
      </top>
      <bottom/>
      <diagonal/>
    </border>
    <border>
      <left/>
      <right style="medium">
        <color auto="1"/>
      </right>
      <top style="thin">
        <color auto="1"/>
      </top>
      <bottom/>
      <diagonal/>
    </border>
  </borders>
  <cellStyleXfs count="4">
    <xf numFmtId="0" fontId="0" fillId="0" borderId="0"/>
    <xf numFmtId="179" fontId="1" fillId="0" borderId="0" applyFont="0" applyFill="0" applyBorder="0" applyAlignment="0" applyProtection="0"/>
    <xf numFmtId="9" fontId="1" fillId="0" borderId="0" applyFont="0" applyFill="0" applyBorder="0" applyAlignment="0" applyProtection="0"/>
    <xf numFmtId="180" fontId="1" fillId="0" borderId="0" applyFont="0" applyFill="0" applyBorder="0" applyAlignment="0" applyProtection="0"/>
  </cellStyleXfs>
  <cellXfs count="366">
    <xf numFmtId="0" fontId="0" fillId="0" borderId="0" xfId="0"/>
    <xf numFmtId="0" fontId="3" fillId="0" borderId="0" xfId="0" applyFont="1"/>
    <xf numFmtId="0" fontId="4" fillId="0" borderId="0" xfId="0" applyFont="1"/>
    <xf numFmtId="0" fontId="4" fillId="5" borderId="20" xfId="0" applyFont="1" applyFill="1" applyBorder="1"/>
    <xf numFmtId="0" fontId="5" fillId="5" borderId="21" xfId="0" applyFont="1" applyFill="1" applyBorder="1"/>
    <xf numFmtId="0" fontId="4" fillId="5" borderId="21" xfId="0" applyFont="1" applyFill="1" applyBorder="1"/>
    <xf numFmtId="0" fontId="4" fillId="5" borderId="22" xfId="0" applyFont="1" applyFill="1" applyBorder="1"/>
    <xf numFmtId="0" fontId="6" fillId="6" borderId="0" xfId="0" applyFont="1" applyFill="1"/>
    <xf numFmtId="0" fontId="5" fillId="5" borderId="12" xfId="0" applyFont="1" applyFill="1" applyBorder="1"/>
    <xf numFmtId="0" fontId="4" fillId="5" borderId="0" xfId="0" applyFont="1" applyFill="1"/>
    <xf numFmtId="0" fontId="4" fillId="5" borderId="17" xfId="0" applyFont="1" applyFill="1" applyBorder="1"/>
    <xf numFmtId="176" fontId="4" fillId="5" borderId="12" xfId="3" applyNumberFormat="1" applyFont="1" applyFill="1" applyBorder="1"/>
    <xf numFmtId="176" fontId="7" fillId="5" borderId="0" xfId="3" applyNumberFormat="1" applyFont="1" applyFill="1" applyBorder="1" applyAlignment="1">
      <alignment horizontal="center" wrapText="1"/>
    </xf>
    <xf numFmtId="176" fontId="7" fillId="5" borderId="17" xfId="3" applyNumberFormat="1" applyFont="1" applyFill="1" applyBorder="1" applyAlignment="1">
      <alignment horizontal="center" wrapText="1"/>
    </xf>
    <xf numFmtId="178" fontId="4" fillId="5" borderId="0" xfId="1" applyNumberFormat="1" applyFont="1" applyFill="1" applyBorder="1"/>
    <xf numFmtId="178" fontId="4" fillId="5" borderId="17" xfId="1" applyNumberFormat="1" applyFont="1" applyFill="1" applyBorder="1"/>
    <xf numFmtId="176" fontId="7" fillId="5" borderId="12" xfId="3" applyNumberFormat="1" applyFont="1" applyFill="1" applyBorder="1"/>
    <xf numFmtId="0" fontId="4" fillId="5" borderId="0" xfId="0" applyFont="1" applyFill="1" applyAlignment="1">
      <alignment horizontal="center"/>
    </xf>
    <xf numFmtId="0" fontId="4" fillId="0" borderId="0" xfId="0" applyFont="1" applyAlignment="1">
      <alignment horizontal="center"/>
    </xf>
    <xf numFmtId="176" fontId="4" fillId="5" borderId="12" xfId="3" applyNumberFormat="1" applyFont="1" applyFill="1" applyBorder="1" applyAlignment="1">
      <alignment horizontal="left"/>
    </xf>
    <xf numFmtId="176" fontId="4" fillId="5" borderId="14" xfId="3" applyNumberFormat="1" applyFont="1" applyFill="1" applyBorder="1" applyAlignment="1">
      <alignment horizontal="left"/>
    </xf>
    <xf numFmtId="178" fontId="4" fillId="5" borderId="15" xfId="1" applyNumberFormat="1" applyFont="1" applyFill="1" applyBorder="1"/>
    <xf numFmtId="178" fontId="4" fillId="5" borderId="18" xfId="1" applyNumberFormat="1" applyFont="1" applyFill="1" applyBorder="1"/>
    <xf numFmtId="0" fontId="4" fillId="3" borderId="0" xfId="0" applyFont="1" applyFill="1"/>
    <xf numFmtId="0" fontId="5" fillId="2" borderId="10" xfId="0" applyFont="1" applyFill="1" applyBorder="1"/>
    <xf numFmtId="0" fontId="5" fillId="2" borderId="11" xfId="0" applyFont="1" applyFill="1" applyBorder="1"/>
    <xf numFmtId="0" fontId="4" fillId="2" borderId="11" xfId="0" applyFont="1" applyFill="1" applyBorder="1"/>
    <xf numFmtId="0" fontId="4" fillId="2" borderId="16" xfId="0" applyFont="1" applyFill="1" applyBorder="1"/>
    <xf numFmtId="0" fontId="4" fillId="6" borderId="0" xfId="0" applyFont="1" applyFill="1"/>
    <xf numFmtId="0" fontId="8" fillId="2" borderId="20" xfId="0" applyFont="1" applyFill="1" applyBorder="1"/>
    <xf numFmtId="0" fontId="5" fillId="2" borderId="16" xfId="0" applyFont="1" applyFill="1" applyBorder="1"/>
    <xf numFmtId="0" fontId="4" fillId="0" borderId="12" xfId="0" applyFont="1" applyBorder="1"/>
    <xf numFmtId="0" fontId="4" fillId="0" borderId="17" xfId="0" applyFont="1" applyBorder="1"/>
    <xf numFmtId="177" fontId="4" fillId="0" borderId="0" xfId="0" applyNumberFormat="1" applyFont="1"/>
    <xf numFmtId="0" fontId="4" fillId="0" borderId="0" xfId="0" applyFont="1" applyAlignment="1">
      <alignment horizontal="right"/>
    </xf>
    <xf numFmtId="177" fontId="4" fillId="0" borderId="0" xfId="0" applyNumberFormat="1" applyFont="1" applyAlignment="1">
      <alignment horizontal="right"/>
    </xf>
    <xf numFmtId="2" fontId="4" fillId="0" borderId="0" xfId="0" applyNumberFormat="1" applyFont="1" applyAlignment="1">
      <alignment horizontal="right"/>
    </xf>
    <xf numFmtId="2" fontId="4" fillId="0" borderId="0" xfId="0" applyNumberFormat="1" applyFont="1"/>
    <xf numFmtId="176" fontId="4" fillId="0" borderId="0" xfId="3" applyNumberFormat="1" applyFont="1" applyBorder="1" applyAlignment="1">
      <alignment horizontal="center"/>
    </xf>
    <xf numFmtId="9" fontId="4" fillId="0" borderId="0" xfId="0" applyNumberFormat="1" applyFont="1"/>
    <xf numFmtId="180" fontId="4" fillId="0" borderId="0" xfId="0" applyNumberFormat="1" applyFont="1"/>
    <xf numFmtId="180" fontId="4" fillId="0" borderId="0" xfId="3" applyFont="1" applyBorder="1"/>
    <xf numFmtId="181" fontId="4" fillId="0" borderId="0" xfId="0" applyNumberFormat="1" applyFont="1"/>
    <xf numFmtId="10" fontId="4" fillId="0" borderId="0" xfId="2" applyNumberFormat="1" applyFont="1" applyBorder="1"/>
    <xf numFmtId="0" fontId="4" fillId="0" borderId="14" xfId="0" applyFont="1" applyBorder="1"/>
    <xf numFmtId="0" fontId="4" fillId="0" borderId="15" xfId="0" applyFont="1" applyBorder="1"/>
    <xf numFmtId="0" fontId="4" fillId="0" borderId="18" xfId="0" applyFont="1" applyBorder="1"/>
    <xf numFmtId="0" fontId="4" fillId="0" borderId="0" xfId="0" applyFont="1" applyAlignment="1">
      <alignment horizontal="left"/>
    </xf>
    <xf numFmtId="0" fontId="4" fillId="0" borderId="20" xfId="0" applyFont="1" applyBorder="1"/>
    <xf numFmtId="0" fontId="4" fillId="0" borderId="21" xfId="0" applyFont="1" applyBorder="1"/>
    <xf numFmtId="0" fontId="4" fillId="0" borderId="12" xfId="0" applyFont="1" applyBorder="1" applyAlignment="1">
      <alignment horizontal="right"/>
    </xf>
    <xf numFmtId="0" fontId="4" fillId="0" borderId="14" xfId="0" applyFont="1" applyBorder="1" applyAlignment="1">
      <alignment horizontal="right"/>
    </xf>
    <xf numFmtId="0" fontId="4" fillId="0" borderId="15" xfId="0" applyFont="1" applyBorder="1" applyAlignment="1">
      <alignment horizontal="right"/>
    </xf>
    <xf numFmtId="2" fontId="4" fillId="0" borderId="15" xfId="0" applyNumberFormat="1" applyFont="1" applyBorder="1"/>
    <xf numFmtId="0" fontId="7" fillId="0" borderId="0" xfId="0" applyFont="1" applyAlignment="1">
      <alignment horizontal="right"/>
    </xf>
    <xf numFmtId="181" fontId="7" fillId="0" borderId="0" xfId="0" applyNumberFormat="1" applyFont="1" applyAlignment="1">
      <alignment horizontal="right"/>
    </xf>
    <xf numFmtId="181" fontId="7" fillId="0" borderId="17" xfId="0" applyNumberFormat="1" applyFont="1" applyBorder="1" applyAlignment="1">
      <alignment horizontal="right"/>
    </xf>
    <xf numFmtId="0" fontId="5" fillId="0" borderId="12" xfId="0" applyFont="1" applyBorder="1"/>
    <xf numFmtId="178" fontId="4" fillId="0" borderId="0" xfId="1" applyNumberFormat="1" applyFont="1" applyBorder="1"/>
    <xf numFmtId="176" fontId="4" fillId="0" borderId="0" xfId="3" applyNumberFormat="1" applyFont="1" applyBorder="1"/>
    <xf numFmtId="176" fontId="4" fillId="0" borderId="17" xfId="3" applyNumberFormat="1" applyFont="1" applyBorder="1"/>
    <xf numFmtId="178" fontId="4" fillId="0" borderId="12" xfId="1" applyNumberFormat="1" applyFont="1" applyBorder="1"/>
    <xf numFmtId="176" fontId="4" fillId="6" borderId="0" xfId="3" applyNumberFormat="1" applyFont="1" applyFill="1" applyBorder="1"/>
    <xf numFmtId="177" fontId="4" fillId="0" borderId="17" xfId="0" applyNumberFormat="1" applyFont="1" applyBorder="1"/>
    <xf numFmtId="178" fontId="7" fillId="0" borderId="0" xfId="1" applyNumberFormat="1" applyFont="1" applyBorder="1" applyAlignment="1">
      <alignment horizontal="right"/>
    </xf>
    <xf numFmtId="178" fontId="7" fillId="0" borderId="17" xfId="1" applyNumberFormat="1" applyFont="1" applyBorder="1" applyAlignment="1">
      <alignment horizontal="right"/>
    </xf>
    <xf numFmtId="9" fontId="5" fillId="0" borderId="12" xfId="0" applyNumberFormat="1" applyFont="1" applyBorder="1"/>
    <xf numFmtId="177" fontId="4" fillId="0" borderId="15" xfId="0" applyNumberFormat="1" applyFont="1" applyBorder="1"/>
    <xf numFmtId="0" fontId="7" fillId="0" borderId="15" xfId="0" applyFont="1" applyBorder="1"/>
    <xf numFmtId="9" fontId="4" fillId="0" borderId="12" xfId="0" applyNumberFormat="1" applyFont="1" applyBorder="1"/>
    <xf numFmtId="0" fontId="5" fillId="0" borderId="0" xfId="0" applyFont="1"/>
    <xf numFmtId="10" fontId="4" fillId="0" borderId="0" xfId="0" applyNumberFormat="1" applyFont="1" applyAlignment="1">
      <alignment horizontal="right"/>
    </xf>
    <xf numFmtId="181" fontId="4" fillId="0" borderId="15" xfId="0" applyNumberFormat="1" applyFont="1" applyBorder="1"/>
    <xf numFmtId="177" fontId="4" fillId="0" borderId="18" xfId="0" applyNumberFormat="1" applyFont="1" applyBorder="1"/>
    <xf numFmtId="178" fontId="4" fillId="0" borderId="0" xfId="0" applyNumberFormat="1" applyFont="1"/>
    <xf numFmtId="0" fontId="10" fillId="2" borderId="11" xfId="0" applyFont="1" applyFill="1" applyBorder="1"/>
    <xf numFmtId="0" fontId="10" fillId="2" borderId="16" xfId="0" applyFont="1" applyFill="1" applyBorder="1"/>
    <xf numFmtId="0" fontId="10" fillId="6" borderId="0" xfId="0" applyFont="1" applyFill="1"/>
    <xf numFmtId="177" fontId="10" fillId="2" borderId="11" xfId="0" applyNumberFormat="1" applyFont="1" applyFill="1" applyBorder="1"/>
    <xf numFmtId="0" fontId="10" fillId="0" borderId="0" xfId="0" applyFont="1"/>
    <xf numFmtId="0" fontId="10" fillId="0" borderId="17" xfId="0" applyFont="1" applyBorder="1"/>
    <xf numFmtId="177" fontId="10" fillId="0" borderId="0" xfId="0" applyNumberFormat="1" applyFont="1"/>
    <xf numFmtId="177" fontId="10" fillId="0" borderId="0" xfId="0" applyNumberFormat="1" applyFont="1" applyAlignment="1">
      <alignment horizontal="right"/>
    </xf>
    <xf numFmtId="2" fontId="10" fillId="0" borderId="0" xfId="0" applyNumberFormat="1" applyFont="1" applyAlignment="1">
      <alignment horizontal="right"/>
    </xf>
    <xf numFmtId="2" fontId="10" fillId="0" borderId="0" xfId="0" applyNumberFormat="1" applyFont="1"/>
    <xf numFmtId="176" fontId="10" fillId="0" borderId="0" xfId="3" applyNumberFormat="1" applyFont="1" applyBorder="1" applyAlignment="1">
      <alignment horizontal="center"/>
    </xf>
    <xf numFmtId="9" fontId="10" fillId="0" borderId="0" xfId="0" applyNumberFormat="1" applyFont="1"/>
    <xf numFmtId="180" fontId="10" fillId="0" borderId="0" xfId="0" applyNumberFormat="1" applyFont="1"/>
    <xf numFmtId="180" fontId="10" fillId="0" borderId="0" xfId="3" applyFont="1" applyBorder="1"/>
    <xf numFmtId="0" fontId="10" fillId="0" borderId="12" xfId="0" applyFont="1" applyBorder="1"/>
    <xf numFmtId="181" fontId="10" fillId="0" borderId="0" xfId="0" applyNumberFormat="1" applyFont="1"/>
    <xf numFmtId="0" fontId="10" fillId="0" borderId="14" xfId="0" applyFont="1" applyBorder="1"/>
    <xf numFmtId="0" fontId="10" fillId="0" borderId="15" xfId="0" applyFont="1" applyBorder="1"/>
    <xf numFmtId="0" fontId="10" fillId="0" borderId="18" xfId="0" applyFont="1" applyBorder="1"/>
    <xf numFmtId="0" fontId="10" fillId="0" borderId="0" xfId="0" applyFont="1" applyAlignment="1">
      <alignment horizontal="left"/>
    </xf>
    <xf numFmtId="0" fontId="10" fillId="0" borderId="20" xfId="0" applyFont="1" applyBorder="1"/>
    <xf numFmtId="0" fontId="10" fillId="0" borderId="21" xfId="0" applyFont="1" applyBorder="1"/>
    <xf numFmtId="0" fontId="10" fillId="0" borderId="0" xfId="0" applyFont="1" applyAlignment="1">
      <alignment horizontal="right"/>
    </xf>
    <xf numFmtId="2" fontId="10" fillId="0" borderId="15" xfId="0" applyNumberFormat="1" applyFont="1" applyBorder="1"/>
    <xf numFmtId="181" fontId="11" fillId="0" borderId="0" xfId="0" applyNumberFormat="1" applyFont="1" applyAlignment="1">
      <alignment horizontal="right"/>
    </xf>
    <xf numFmtId="178" fontId="10" fillId="0" borderId="0" xfId="1" applyNumberFormat="1" applyFont="1" applyBorder="1"/>
    <xf numFmtId="176" fontId="10" fillId="0" borderId="0" xfId="3" applyNumberFormat="1" applyFont="1" applyBorder="1"/>
    <xf numFmtId="176" fontId="10" fillId="0" borderId="17" xfId="3" applyNumberFormat="1" applyFont="1" applyBorder="1"/>
    <xf numFmtId="0" fontId="12" fillId="2" borderId="11" xfId="0" applyFont="1" applyFill="1" applyBorder="1"/>
    <xf numFmtId="177" fontId="10" fillId="2" borderId="16" xfId="0" applyNumberFormat="1" applyFont="1" applyFill="1" applyBorder="1"/>
    <xf numFmtId="178" fontId="10" fillId="0" borderId="12" xfId="1" applyNumberFormat="1" applyFont="1" applyBorder="1"/>
    <xf numFmtId="176" fontId="10" fillId="6" borderId="0" xfId="3" applyNumberFormat="1" applyFont="1" applyFill="1" applyBorder="1"/>
    <xf numFmtId="177" fontId="10" fillId="0" borderId="17" xfId="0" applyNumberFormat="1" applyFont="1" applyBorder="1"/>
    <xf numFmtId="178" fontId="11" fillId="0" borderId="0" xfId="1" applyNumberFormat="1" applyFont="1" applyBorder="1" applyAlignment="1">
      <alignment horizontal="right"/>
    </xf>
    <xf numFmtId="177" fontId="10" fillId="0" borderId="15" xfId="0" applyNumberFormat="1" applyFont="1" applyBorder="1"/>
    <xf numFmtId="177" fontId="10" fillId="0" borderId="18" xfId="0" applyNumberFormat="1" applyFont="1" applyBorder="1"/>
    <xf numFmtId="9" fontId="10" fillId="0" borderId="12" xfId="0" applyNumberFormat="1" applyFont="1" applyBorder="1"/>
    <xf numFmtId="10" fontId="10" fillId="0" borderId="0" xfId="2" applyNumberFormat="1" applyFont="1" applyBorder="1"/>
    <xf numFmtId="10" fontId="10" fillId="0" borderId="0" xfId="0" applyNumberFormat="1" applyFont="1"/>
    <xf numFmtId="178" fontId="10" fillId="0" borderId="0" xfId="3" applyNumberFormat="1" applyFont="1" applyBorder="1"/>
    <xf numFmtId="0" fontId="10" fillId="0" borderId="15" xfId="0" applyFont="1" applyBorder="1" applyAlignment="1">
      <alignment horizontal="left"/>
    </xf>
    <xf numFmtId="0" fontId="13" fillId="0" borderId="0" xfId="0" applyFont="1"/>
    <xf numFmtId="0" fontId="12" fillId="0" borderId="0" xfId="0" applyFont="1"/>
    <xf numFmtId="178" fontId="10" fillId="0" borderId="0" xfId="0" applyNumberFormat="1" applyFont="1"/>
    <xf numFmtId="176" fontId="10" fillId="0" borderId="0" xfId="0" applyNumberFormat="1" applyFont="1"/>
    <xf numFmtId="179" fontId="10" fillId="0" borderId="0" xfId="0" applyNumberFormat="1" applyFont="1"/>
    <xf numFmtId="178" fontId="4" fillId="2" borderId="11" xfId="1" applyNumberFormat="1" applyFont="1" applyFill="1" applyBorder="1"/>
    <xf numFmtId="178" fontId="4" fillId="2" borderId="16" xfId="1" applyNumberFormat="1" applyFont="1" applyFill="1" applyBorder="1"/>
    <xf numFmtId="0" fontId="5" fillId="3" borderId="10" xfId="0" applyFont="1" applyFill="1" applyBorder="1"/>
    <xf numFmtId="0" fontId="5" fillId="3" borderId="11" xfId="0" applyFont="1" applyFill="1" applyBorder="1"/>
    <xf numFmtId="0" fontId="5" fillId="3" borderId="16" xfId="0" applyFont="1" applyFill="1" applyBorder="1"/>
    <xf numFmtId="178" fontId="4" fillId="0" borderId="0" xfId="1" applyNumberFormat="1" applyFont="1" applyFill="1" applyBorder="1"/>
    <xf numFmtId="178" fontId="4" fillId="0" borderId="17" xfId="1" applyNumberFormat="1" applyFont="1" applyFill="1" applyBorder="1"/>
    <xf numFmtId="0" fontId="4" fillId="0" borderId="0" xfId="0" applyFont="1" applyAlignment="1">
      <alignment wrapText="1"/>
    </xf>
    <xf numFmtId="0" fontId="5" fillId="3" borderId="12" xfId="0" applyFont="1" applyFill="1" applyBorder="1"/>
    <xf numFmtId="0" fontId="5" fillId="3" borderId="0" xfId="0" applyFont="1" applyFill="1"/>
    <xf numFmtId="0" fontId="5" fillId="3" borderId="17" xfId="0" applyFont="1" applyFill="1" applyBorder="1"/>
    <xf numFmtId="178" fontId="7" fillId="0" borderId="0" xfId="1" applyNumberFormat="1" applyFont="1" applyFill="1" applyBorder="1" applyAlignment="1">
      <alignment horizontal="center"/>
    </xf>
    <xf numFmtId="178" fontId="7" fillId="0" borderId="17" xfId="1" applyNumberFormat="1" applyFont="1" applyFill="1" applyBorder="1" applyAlignment="1">
      <alignment horizontal="center"/>
    </xf>
    <xf numFmtId="178" fontId="7" fillId="0" borderId="0" xfId="1" applyNumberFormat="1" applyFont="1" applyFill="1" applyBorder="1" applyAlignment="1">
      <alignment horizontal="right"/>
    </xf>
    <xf numFmtId="178" fontId="7" fillId="0" borderId="17" xfId="1" applyNumberFormat="1" applyFont="1" applyFill="1" applyBorder="1" applyAlignment="1">
      <alignment horizontal="right"/>
    </xf>
    <xf numFmtId="178" fontId="4" fillId="4" borderId="0" xfId="1" applyNumberFormat="1" applyFont="1" applyFill="1" applyBorder="1"/>
    <xf numFmtId="178" fontId="4" fillId="4" borderId="17" xfId="1" applyNumberFormat="1" applyFont="1" applyFill="1" applyBorder="1"/>
    <xf numFmtId="0" fontId="4" fillId="0" borderId="0" xfId="0" applyFont="1" applyAlignment="1">
      <alignment vertical="top" wrapText="1"/>
    </xf>
    <xf numFmtId="0" fontId="4" fillId="3" borderId="12" xfId="0" applyFont="1" applyFill="1" applyBorder="1"/>
    <xf numFmtId="178" fontId="4" fillId="4" borderId="2" xfId="1" applyNumberFormat="1" applyFont="1" applyFill="1" applyBorder="1"/>
    <xf numFmtId="178" fontId="4" fillId="4" borderId="19" xfId="1" applyNumberFormat="1" applyFont="1" applyFill="1" applyBorder="1"/>
    <xf numFmtId="0" fontId="7" fillId="3" borderId="12" xfId="0" applyFont="1" applyFill="1" applyBorder="1" applyAlignment="1">
      <alignment vertical="top" wrapText="1"/>
    </xf>
    <xf numFmtId="0" fontId="4" fillId="0" borderId="12" xfId="0" quotePrefix="1" applyFont="1" applyBorder="1"/>
    <xf numFmtId="9" fontId="4" fillId="3" borderId="12" xfId="0" applyNumberFormat="1" applyFont="1" applyFill="1" applyBorder="1"/>
    <xf numFmtId="179" fontId="4" fillId="4" borderId="0" xfId="1" applyFont="1" applyFill="1" applyBorder="1"/>
    <xf numFmtId="179" fontId="4" fillId="4" borderId="0" xfId="0" applyNumberFormat="1" applyFont="1" applyFill="1"/>
    <xf numFmtId="179" fontId="4" fillId="4" borderId="17" xfId="1" applyFont="1" applyFill="1" applyBorder="1"/>
    <xf numFmtId="178" fontId="4" fillId="0" borderId="17" xfId="1" applyNumberFormat="1" applyFont="1" applyBorder="1"/>
    <xf numFmtId="9" fontId="4" fillId="3" borderId="14" xfId="0" applyNumberFormat="1" applyFont="1" applyFill="1" applyBorder="1"/>
    <xf numFmtId="179" fontId="4" fillId="4" borderId="15" xfId="1" applyFont="1" applyFill="1" applyBorder="1"/>
    <xf numFmtId="179" fontId="4" fillId="4" borderId="15" xfId="0" applyNumberFormat="1" applyFont="1" applyFill="1" applyBorder="1"/>
    <xf numFmtId="179" fontId="4" fillId="4" borderId="18" xfId="1" applyFont="1" applyFill="1" applyBorder="1"/>
    <xf numFmtId="0" fontId="4" fillId="3" borderId="11" xfId="0" applyFont="1" applyFill="1" applyBorder="1"/>
    <xf numFmtId="0" fontId="4" fillId="3" borderId="16" xfId="0" applyFont="1" applyFill="1" applyBorder="1"/>
    <xf numFmtId="0" fontId="4" fillId="3" borderId="17" xfId="0" applyFont="1" applyFill="1" applyBorder="1"/>
    <xf numFmtId="176" fontId="4" fillId="4" borderId="0" xfId="3" applyNumberFormat="1" applyFont="1" applyFill="1" applyBorder="1"/>
    <xf numFmtId="176" fontId="4" fillId="4" borderId="0" xfId="0" applyNumberFormat="1" applyFont="1" applyFill="1"/>
    <xf numFmtId="0" fontId="4" fillId="3" borderId="14" xfId="0" applyFont="1" applyFill="1" applyBorder="1"/>
    <xf numFmtId="176" fontId="4" fillId="4" borderId="15" xfId="3" applyNumberFormat="1" applyFont="1" applyFill="1" applyBorder="1"/>
    <xf numFmtId="176" fontId="4" fillId="4" borderId="15" xfId="0" applyNumberFormat="1" applyFont="1" applyFill="1" applyBorder="1"/>
    <xf numFmtId="0" fontId="4" fillId="3" borderId="15" xfId="0" applyFont="1" applyFill="1" applyBorder="1"/>
    <xf numFmtId="178" fontId="4" fillId="4" borderId="18" xfId="1" applyNumberFormat="1" applyFont="1" applyFill="1" applyBorder="1"/>
    <xf numFmtId="0" fontId="4" fillId="0" borderId="14" xfId="0" quotePrefix="1" applyFont="1" applyBorder="1"/>
    <xf numFmtId="178" fontId="4" fillId="4" borderId="15" xfId="1" applyNumberFormat="1" applyFont="1" applyFill="1" applyBorder="1"/>
    <xf numFmtId="178" fontId="4" fillId="0" borderId="0" xfId="1" applyNumberFormat="1" applyFont="1"/>
    <xf numFmtId="0" fontId="4" fillId="3" borderId="18" xfId="0" applyFont="1" applyFill="1" applyBorder="1"/>
    <xf numFmtId="176" fontId="4" fillId="0" borderId="0" xfId="3" applyNumberFormat="1" applyFont="1" applyFill="1"/>
    <xf numFmtId="178" fontId="4" fillId="0" borderId="0" xfId="1" applyNumberFormat="1" applyFont="1" applyFill="1"/>
    <xf numFmtId="0" fontId="5" fillId="2" borderId="20" xfId="0" applyFont="1" applyFill="1" applyBorder="1"/>
    <xf numFmtId="178" fontId="4" fillId="2" borderId="21" xfId="1" applyNumberFormat="1" applyFont="1" applyFill="1" applyBorder="1"/>
    <xf numFmtId="178" fontId="4" fillId="2" borderId="22" xfId="1" applyNumberFormat="1" applyFont="1" applyFill="1" applyBorder="1"/>
    <xf numFmtId="0" fontId="4" fillId="2" borderId="14" xfId="0" applyFont="1" applyFill="1" applyBorder="1"/>
    <xf numFmtId="0" fontId="5" fillId="2" borderId="15" xfId="0" applyFont="1" applyFill="1" applyBorder="1"/>
    <xf numFmtId="178" fontId="4" fillId="2" borderId="18" xfId="1" applyNumberFormat="1" applyFont="1" applyFill="1" applyBorder="1"/>
    <xf numFmtId="0" fontId="12" fillId="2" borderId="10" xfId="0" applyFont="1" applyFill="1" applyBorder="1"/>
    <xf numFmtId="176" fontId="10" fillId="2" borderId="11" xfId="3" applyNumberFormat="1" applyFont="1" applyFill="1" applyBorder="1"/>
    <xf numFmtId="0" fontId="12" fillId="3" borderId="10" xfId="0" applyFont="1" applyFill="1" applyBorder="1"/>
    <xf numFmtId="0" fontId="10" fillId="3" borderId="11" xfId="0" applyFont="1" applyFill="1" applyBorder="1"/>
    <xf numFmtId="0" fontId="10" fillId="3" borderId="16" xfId="0" applyFont="1" applyFill="1" applyBorder="1"/>
    <xf numFmtId="0" fontId="12" fillId="0" borderId="12" xfId="0" applyFont="1" applyBorder="1"/>
    <xf numFmtId="176" fontId="10" fillId="0" borderId="0" xfId="3" applyNumberFormat="1" applyFont="1" applyFill="1" applyBorder="1"/>
    <xf numFmtId="0" fontId="10" fillId="3" borderId="12" xfId="0" applyFont="1" applyFill="1" applyBorder="1"/>
    <xf numFmtId="0" fontId="11" fillId="3" borderId="0" xfId="0" applyFont="1" applyFill="1"/>
    <xf numFmtId="0" fontId="11" fillId="3" borderId="17" xfId="0" applyFont="1" applyFill="1" applyBorder="1"/>
    <xf numFmtId="176" fontId="11" fillId="0" borderId="0" xfId="3" applyNumberFormat="1" applyFont="1" applyBorder="1" applyAlignment="1">
      <alignment horizontal="center"/>
    </xf>
    <xf numFmtId="0" fontId="11" fillId="0" borderId="0" xfId="0" applyFont="1" applyAlignment="1">
      <alignment horizontal="center"/>
    </xf>
    <xf numFmtId="0" fontId="11" fillId="0" borderId="17" xfId="0" applyFont="1" applyBorder="1" applyAlignment="1">
      <alignment horizontal="center"/>
    </xf>
    <xf numFmtId="0" fontId="11" fillId="3" borderId="0" xfId="0" applyFont="1" applyFill="1" applyAlignment="1">
      <alignment horizontal="center"/>
    </xf>
    <xf numFmtId="0" fontId="11" fillId="3" borderId="17" xfId="0" applyFont="1" applyFill="1" applyBorder="1" applyAlignment="1">
      <alignment horizontal="center"/>
    </xf>
    <xf numFmtId="179" fontId="10" fillId="4" borderId="0" xfId="1" applyFont="1" applyFill="1" applyBorder="1"/>
    <xf numFmtId="179" fontId="10" fillId="4" borderId="17" xfId="1" applyFont="1" applyFill="1" applyBorder="1"/>
    <xf numFmtId="178" fontId="10" fillId="4" borderId="0" xfId="1" applyNumberFormat="1" applyFont="1" applyFill="1" applyBorder="1"/>
    <xf numFmtId="178" fontId="10" fillId="0" borderId="0" xfId="1" applyNumberFormat="1" applyFont="1" applyFill="1" applyBorder="1"/>
    <xf numFmtId="178" fontId="10" fillId="4" borderId="17" xfId="1" applyNumberFormat="1" applyFont="1" applyFill="1" applyBorder="1"/>
    <xf numFmtId="179" fontId="10" fillId="4" borderId="2" xfId="1" applyFont="1" applyFill="1" applyBorder="1"/>
    <xf numFmtId="179" fontId="10" fillId="4" borderId="19" xfId="1" applyFont="1" applyFill="1" applyBorder="1"/>
    <xf numFmtId="178" fontId="10" fillId="4" borderId="2" xfId="1" applyNumberFormat="1" applyFont="1" applyFill="1" applyBorder="1"/>
    <xf numFmtId="176" fontId="10" fillId="0" borderId="2" xfId="3" applyNumberFormat="1" applyFont="1" applyFill="1" applyBorder="1"/>
    <xf numFmtId="0" fontId="10" fillId="0" borderId="2" xfId="0" applyFont="1" applyBorder="1"/>
    <xf numFmtId="178" fontId="10" fillId="4" borderId="19" xfId="1" applyNumberFormat="1" applyFont="1" applyFill="1" applyBorder="1"/>
    <xf numFmtId="0" fontId="10" fillId="3" borderId="14" xfId="0" applyFont="1" applyFill="1" applyBorder="1"/>
    <xf numFmtId="179" fontId="10" fillId="4" borderId="27" xfId="1" applyFont="1" applyFill="1" applyBorder="1"/>
    <xf numFmtId="179" fontId="10" fillId="4" borderId="23" xfId="1" applyFont="1" applyFill="1" applyBorder="1"/>
    <xf numFmtId="0" fontId="12" fillId="3" borderId="12" xfId="0" applyFont="1" applyFill="1" applyBorder="1"/>
    <xf numFmtId="0" fontId="10" fillId="3" borderId="0" xfId="0" applyFont="1" applyFill="1"/>
    <xf numFmtId="0" fontId="10" fillId="3" borderId="17" xfId="0" applyFont="1" applyFill="1" applyBorder="1"/>
    <xf numFmtId="178" fontId="10" fillId="4" borderId="27" xfId="1" applyNumberFormat="1" applyFont="1" applyFill="1" applyBorder="1"/>
    <xf numFmtId="178" fontId="10" fillId="0" borderId="27" xfId="1" applyNumberFormat="1" applyFont="1" applyFill="1" applyBorder="1"/>
    <xf numFmtId="178" fontId="10" fillId="4" borderId="23" xfId="1" applyNumberFormat="1" applyFont="1" applyFill="1" applyBorder="1"/>
    <xf numFmtId="176" fontId="10" fillId="4" borderId="0" xfId="3" applyNumberFormat="1" applyFont="1" applyFill="1" applyBorder="1"/>
    <xf numFmtId="176" fontId="10" fillId="4" borderId="17" xfId="3" applyNumberFormat="1" applyFont="1" applyFill="1" applyBorder="1"/>
    <xf numFmtId="176" fontId="10" fillId="4" borderId="0" xfId="3" applyNumberFormat="1" applyFont="1" applyFill="1" applyBorder="1" applyAlignment="1">
      <alignment horizontal="center"/>
    </xf>
    <xf numFmtId="176" fontId="10" fillId="4" borderId="17" xfId="3" applyNumberFormat="1" applyFont="1" applyFill="1" applyBorder="1" applyAlignment="1">
      <alignment horizontal="center"/>
    </xf>
    <xf numFmtId="176" fontId="10" fillId="4" borderId="27" xfId="0" applyNumberFormat="1" applyFont="1" applyFill="1" applyBorder="1"/>
    <xf numFmtId="176" fontId="10" fillId="4" borderId="23" xfId="0" applyNumberFormat="1" applyFont="1" applyFill="1" applyBorder="1"/>
    <xf numFmtId="176" fontId="10" fillId="0" borderId="0" xfId="3" applyNumberFormat="1" applyFont="1"/>
    <xf numFmtId="0" fontId="12" fillId="2" borderId="16" xfId="0" applyFont="1" applyFill="1" applyBorder="1"/>
    <xf numFmtId="0" fontId="12" fillId="0" borderId="17" xfId="0" applyFont="1" applyBorder="1"/>
    <xf numFmtId="0" fontId="10" fillId="0" borderId="12" xfId="0" quotePrefix="1" applyFont="1" applyBorder="1"/>
    <xf numFmtId="178" fontId="10" fillId="4" borderId="28" xfId="1" applyNumberFormat="1" applyFont="1" applyFill="1" applyBorder="1"/>
    <xf numFmtId="178" fontId="10" fillId="4" borderId="29" xfId="1" applyNumberFormat="1" applyFont="1" applyFill="1" applyBorder="1"/>
    <xf numFmtId="176" fontId="10" fillId="4" borderId="15" xfId="3" applyNumberFormat="1" applyFont="1" applyFill="1" applyBorder="1" applyAlignment="1">
      <alignment horizontal="center"/>
    </xf>
    <xf numFmtId="0" fontId="10" fillId="0" borderId="15" xfId="0" applyFont="1" applyBorder="1" applyAlignment="1">
      <alignment horizontal="center"/>
    </xf>
    <xf numFmtId="176" fontId="10" fillId="4" borderId="18" xfId="3" applyNumberFormat="1" applyFont="1" applyFill="1" applyBorder="1" applyAlignment="1">
      <alignment horizontal="center"/>
    </xf>
    <xf numFmtId="0" fontId="7" fillId="0" borderId="0" xfId="0" applyFont="1" applyAlignment="1">
      <alignment wrapText="1"/>
    </xf>
    <xf numFmtId="9" fontId="4" fillId="4" borderId="0" xfId="2" applyFont="1" applyFill="1" applyBorder="1"/>
    <xf numFmtId="176" fontId="4" fillId="4" borderId="0" xfId="2" applyNumberFormat="1" applyFont="1" applyFill="1" applyBorder="1"/>
    <xf numFmtId="178" fontId="4" fillId="4" borderId="0" xfId="1" applyNumberFormat="1" applyFont="1" applyFill="1" applyBorder="1" applyAlignment="1">
      <alignment wrapText="1"/>
    </xf>
    <xf numFmtId="178" fontId="4" fillId="4" borderId="2" xfId="1" applyNumberFormat="1" applyFont="1" applyFill="1" applyBorder="1" applyAlignment="1">
      <alignment wrapText="1"/>
    </xf>
    <xf numFmtId="176" fontId="4" fillId="0" borderId="0" xfId="3" applyNumberFormat="1" applyFont="1" applyFill="1" applyBorder="1"/>
    <xf numFmtId="0" fontId="7" fillId="0" borderId="12" xfId="0" applyFont="1" applyBorder="1" applyAlignment="1">
      <alignment wrapText="1"/>
    </xf>
    <xf numFmtId="0" fontId="7" fillId="0" borderId="17" xfId="0" applyFont="1" applyBorder="1" applyAlignment="1">
      <alignment wrapText="1"/>
    </xf>
    <xf numFmtId="177" fontId="4" fillId="4" borderId="0" xfId="0" applyNumberFormat="1" applyFont="1" applyFill="1"/>
    <xf numFmtId="0" fontId="7" fillId="0" borderId="12" xfId="0" applyFont="1" applyBorder="1"/>
    <xf numFmtId="0" fontId="7" fillId="0" borderId="0" xfId="0" applyFont="1"/>
    <xf numFmtId="0" fontId="7" fillId="0" borderId="17" xfId="0" applyFont="1" applyBorder="1"/>
    <xf numFmtId="0" fontId="7" fillId="0" borderId="12" xfId="0" applyFont="1" applyBorder="1" applyAlignment="1">
      <alignment horizontal="right"/>
    </xf>
    <xf numFmtId="177" fontId="4" fillId="4" borderId="0" xfId="1" applyNumberFormat="1" applyFont="1" applyFill="1" applyBorder="1"/>
    <xf numFmtId="176" fontId="4" fillId="0" borderId="0" xfId="0" applyNumberFormat="1" applyFont="1"/>
    <xf numFmtId="178" fontId="4" fillId="4" borderId="0" xfId="0" applyNumberFormat="1" applyFont="1" applyFill="1"/>
    <xf numFmtId="178" fontId="4" fillId="0" borderId="17" xfId="0" applyNumberFormat="1" applyFont="1" applyBorder="1"/>
    <xf numFmtId="0" fontId="5" fillId="0" borderId="0" xfId="0" applyFont="1" applyAlignment="1">
      <alignment horizontal="center"/>
    </xf>
    <xf numFmtId="0" fontId="5" fillId="0" borderId="0" xfId="0" quotePrefix="1" applyFont="1" applyAlignment="1">
      <alignment horizontal="center"/>
    </xf>
    <xf numFmtId="0" fontId="4" fillId="0" borderId="12" xfId="0" applyFont="1" applyBorder="1" applyAlignment="1">
      <alignment vertical="top" wrapText="1"/>
    </xf>
    <xf numFmtId="0" fontId="4" fillId="0" borderId="17" xfId="0" applyFont="1" applyBorder="1" applyAlignment="1">
      <alignment vertical="top" wrapText="1"/>
    </xf>
    <xf numFmtId="178" fontId="5" fillId="0" borderId="0" xfId="1" applyNumberFormat="1" applyFont="1" applyFill="1" applyBorder="1" applyAlignment="1">
      <alignment horizontal="center"/>
    </xf>
    <xf numFmtId="0" fontId="4" fillId="0" borderId="12" xfId="0" applyFont="1" applyBorder="1" applyAlignment="1">
      <alignment wrapText="1"/>
    </xf>
    <xf numFmtId="0" fontId="4" fillId="0" borderId="17" xfId="0" applyFont="1" applyBorder="1" applyAlignment="1">
      <alignment wrapText="1"/>
    </xf>
    <xf numFmtId="0" fontId="5" fillId="0" borderId="20" xfId="0" applyFont="1" applyBorder="1"/>
    <xf numFmtId="0" fontId="4" fillId="0" borderId="22" xfId="0" applyFont="1" applyBorder="1"/>
    <xf numFmtId="178" fontId="4" fillId="4" borderId="17" xfId="0" applyNumberFormat="1" applyFont="1" applyFill="1" applyBorder="1"/>
    <xf numFmtId="178" fontId="4" fillId="4" borderId="23" xfId="0" applyNumberFormat="1" applyFont="1" applyFill="1" applyBorder="1"/>
    <xf numFmtId="178" fontId="4" fillId="4" borderId="23" xfId="1" applyNumberFormat="1" applyFont="1" applyFill="1" applyBorder="1"/>
    <xf numFmtId="0" fontId="5" fillId="5" borderId="10" xfId="0" applyFont="1" applyFill="1" applyBorder="1"/>
    <xf numFmtId="0" fontId="4" fillId="5" borderId="11" xfId="0" applyFont="1" applyFill="1" applyBorder="1"/>
    <xf numFmtId="0" fontId="4" fillId="5" borderId="16" xfId="0" applyFont="1" applyFill="1" applyBorder="1"/>
    <xf numFmtId="0" fontId="5" fillId="5" borderId="11" xfId="0" applyFont="1" applyFill="1" applyBorder="1"/>
    <xf numFmtId="0" fontId="5" fillId="5" borderId="16" xfId="0" applyFont="1" applyFill="1" applyBorder="1"/>
    <xf numFmtId="0" fontId="4" fillId="5" borderId="12" xfId="0" applyFont="1" applyFill="1" applyBorder="1"/>
    <xf numFmtId="0" fontId="5" fillId="5" borderId="17" xfId="0" applyFont="1" applyFill="1" applyBorder="1"/>
    <xf numFmtId="0" fontId="4" fillId="5" borderId="12" xfId="0" applyFont="1" applyFill="1" applyBorder="1" applyAlignment="1">
      <alignment wrapText="1"/>
    </xf>
    <xf numFmtId="0" fontId="4" fillId="5" borderId="0" xfId="0" applyFont="1" applyFill="1" applyAlignment="1">
      <alignment wrapText="1"/>
    </xf>
    <xf numFmtId="0" fontId="7" fillId="5" borderId="0" xfId="0" applyFont="1" applyFill="1" applyAlignment="1">
      <alignment horizontal="center" wrapText="1"/>
    </xf>
    <xf numFmtId="0" fontId="7" fillId="5" borderId="17" xfId="0" applyFont="1" applyFill="1" applyBorder="1" applyAlignment="1">
      <alignment horizontal="center" wrapText="1"/>
    </xf>
    <xf numFmtId="0" fontId="7" fillId="5" borderId="12" xfId="0" applyFont="1" applyFill="1" applyBorder="1"/>
    <xf numFmtId="0" fontId="7" fillId="5" borderId="0" xfId="0" applyFont="1" applyFill="1"/>
    <xf numFmtId="176" fontId="4" fillId="5" borderId="0" xfId="3" applyNumberFormat="1" applyFont="1" applyFill="1" applyBorder="1"/>
    <xf numFmtId="178" fontId="4" fillId="5" borderId="0" xfId="1" applyNumberFormat="1" applyFont="1" applyFill="1" applyBorder="1" applyAlignment="1">
      <alignment horizontal="right"/>
    </xf>
    <xf numFmtId="0" fontId="4" fillId="5" borderId="15" xfId="0" applyFont="1" applyFill="1" applyBorder="1"/>
    <xf numFmtId="176" fontId="4" fillId="4" borderId="0" xfId="3" applyNumberFormat="1" applyFont="1" applyFill="1" applyBorder="1" applyAlignment="1">
      <alignment horizontal="center"/>
    </xf>
    <xf numFmtId="176" fontId="4" fillId="4" borderId="17" xfId="3" applyNumberFormat="1" applyFont="1" applyFill="1" applyBorder="1" applyAlignment="1">
      <alignment horizontal="center"/>
    </xf>
    <xf numFmtId="178" fontId="4" fillId="5" borderId="17" xfId="0" applyNumberFormat="1" applyFont="1" applyFill="1" applyBorder="1"/>
    <xf numFmtId="0" fontId="4" fillId="5" borderId="14" xfId="0" applyFont="1" applyFill="1" applyBorder="1"/>
    <xf numFmtId="0" fontId="4" fillId="5" borderId="18" xfId="0" applyFont="1" applyFill="1" applyBorder="1"/>
    <xf numFmtId="0" fontId="5" fillId="5" borderId="0" xfId="0" applyFont="1" applyFill="1"/>
    <xf numFmtId="0" fontId="5" fillId="5" borderId="24" xfId="0" applyFont="1" applyFill="1" applyBorder="1"/>
    <xf numFmtId="0" fontId="4" fillId="5" borderId="25" xfId="0" applyFont="1" applyFill="1" applyBorder="1"/>
    <xf numFmtId="0" fontId="4" fillId="5" borderId="26" xfId="0" applyFont="1" applyFill="1" applyBorder="1"/>
    <xf numFmtId="178" fontId="4" fillId="4" borderId="2" xfId="0" applyNumberFormat="1" applyFont="1" applyFill="1" applyBorder="1"/>
    <xf numFmtId="178" fontId="4" fillId="4" borderId="22" xfId="1" applyNumberFormat="1" applyFont="1" applyFill="1" applyBorder="1"/>
    <xf numFmtId="178" fontId="4" fillId="5" borderId="0" xfId="0" applyNumberFormat="1" applyFont="1" applyFill="1"/>
    <xf numFmtId="0" fontId="4" fillId="0" borderId="0" xfId="0" applyFont="1" applyAlignment="1">
      <alignment vertical="center" wrapText="1"/>
    </xf>
    <xf numFmtId="0" fontId="5" fillId="0" borderId="12" xfId="0" applyFont="1" applyBorder="1" applyAlignment="1">
      <alignment horizontal="center"/>
    </xf>
    <xf numFmtId="0" fontId="5" fillId="0" borderId="17" xfId="0" applyFont="1" applyBorder="1" applyAlignment="1">
      <alignment horizontal="center"/>
    </xf>
    <xf numFmtId="178" fontId="4" fillId="4" borderId="13" xfId="1" applyNumberFormat="1" applyFont="1" applyFill="1" applyBorder="1"/>
    <xf numFmtId="176" fontId="4" fillId="0" borderId="17" xfId="0" applyNumberFormat="1" applyFont="1" applyBorder="1"/>
    <xf numFmtId="176" fontId="4" fillId="4" borderId="15" xfId="3" applyNumberFormat="1" applyFont="1" applyFill="1" applyBorder="1" applyAlignment="1">
      <alignment horizontal="center"/>
    </xf>
    <xf numFmtId="176" fontId="4" fillId="0" borderId="18" xfId="0" applyNumberFormat="1" applyFont="1" applyBorder="1"/>
    <xf numFmtId="176" fontId="4" fillId="4" borderId="0" xfId="3" applyNumberFormat="1" applyFont="1" applyFill="1"/>
    <xf numFmtId="176" fontId="4" fillId="4" borderId="2" xfId="3" applyNumberFormat="1" applyFont="1" applyFill="1" applyBorder="1"/>
    <xf numFmtId="0" fontId="4" fillId="0" borderId="0" xfId="0" quotePrefix="1" applyFont="1"/>
    <xf numFmtId="178" fontId="10" fillId="0" borderId="0" xfId="1" applyNumberFormat="1" applyFont="1"/>
    <xf numFmtId="0" fontId="10" fillId="0" borderId="0" xfId="0" pivotButton="1" applyFont="1"/>
    <xf numFmtId="0" fontId="11" fillId="2" borderId="2" xfId="0" applyFont="1" applyFill="1" applyBorder="1"/>
    <xf numFmtId="0" fontId="11" fillId="2" borderId="4" xfId="0" applyFont="1" applyFill="1" applyBorder="1"/>
    <xf numFmtId="176" fontId="10" fillId="0" borderId="5" xfId="3" applyNumberFormat="1" applyFont="1" applyFill="1" applyBorder="1"/>
    <xf numFmtId="0" fontId="10" fillId="0" borderId="0" xfId="0" applyFont="1" applyAlignment="1">
      <alignment horizontal="left" indent="1"/>
    </xf>
    <xf numFmtId="0" fontId="14" fillId="0" borderId="0" xfId="0" applyFont="1"/>
    <xf numFmtId="0" fontId="14" fillId="0" borderId="2" xfId="0" applyFont="1" applyBorder="1"/>
    <xf numFmtId="176" fontId="10" fillId="0" borderId="4" xfId="3" applyNumberFormat="1" applyFont="1" applyFill="1" applyBorder="1"/>
    <xf numFmtId="0" fontId="15" fillId="0" borderId="0" xfId="0" applyFont="1"/>
    <xf numFmtId="0" fontId="11" fillId="2" borderId="1" xfId="0" applyFont="1" applyFill="1" applyBorder="1"/>
    <xf numFmtId="0" fontId="10" fillId="0" borderId="3" xfId="0" applyFont="1" applyBorder="1"/>
    <xf numFmtId="0" fontId="10" fillId="0" borderId="1" xfId="0" applyFont="1" applyBorder="1"/>
    <xf numFmtId="0" fontId="16" fillId="0" borderId="0" xfId="0" applyFont="1" applyAlignment="1">
      <alignment horizontal="right"/>
    </xf>
    <xf numFmtId="0" fontId="16" fillId="0" borderId="0" xfId="0" applyFont="1" applyAlignment="1">
      <alignment horizontal="left"/>
    </xf>
    <xf numFmtId="176" fontId="10" fillId="0" borderId="9" xfId="3" applyNumberFormat="1" applyFont="1" applyFill="1" applyBorder="1"/>
    <xf numFmtId="0" fontId="10" fillId="0" borderId="0" xfId="0" applyFont="1" applyAlignment="1">
      <alignment wrapText="1"/>
    </xf>
    <xf numFmtId="0" fontId="11" fillId="0" borderId="0" xfId="0" applyFont="1"/>
    <xf numFmtId="176" fontId="10" fillId="0" borderId="5" xfId="3" applyNumberFormat="1" applyFont="1" applyBorder="1"/>
    <xf numFmtId="0" fontId="10" fillId="3" borderId="0" xfId="0" applyFont="1" applyFill="1" applyAlignment="1">
      <alignment vertical="top"/>
    </xf>
    <xf numFmtId="0" fontId="10" fillId="3" borderId="0" xfId="0" applyFont="1" applyFill="1" applyAlignment="1">
      <alignment vertical="top" wrapText="1"/>
    </xf>
    <xf numFmtId="176" fontId="10" fillId="0" borderId="4" xfId="3" applyNumberFormat="1" applyFont="1" applyBorder="1"/>
    <xf numFmtId="0" fontId="9" fillId="0" borderId="0" xfId="0" applyFont="1"/>
    <xf numFmtId="0" fontId="9" fillId="0" borderId="12" xfId="0" applyFont="1" applyBorder="1"/>
    <xf numFmtId="0" fontId="16" fillId="0" borderId="2" xfId="0" applyFont="1" applyBorder="1" applyAlignment="1">
      <alignment horizontal="left"/>
    </xf>
    <xf numFmtId="0" fontId="4" fillId="0" borderId="0" xfId="0" applyFont="1" applyAlignment="1">
      <alignment horizontal="center"/>
    </xf>
    <xf numFmtId="0" fontId="4" fillId="0" borderId="12" xfId="0" applyFont="1" applyBorder="1"/>
    <xf numFmtId="0" fontId="4" fillId="0" borderId="0" xfId="0" applyFont="1"/>
    <xf numFmtId="0" fontId="9" fillId="0" borderId="0" xfId="0" applyFont="1"/>
    <xf numFmtId="0" fontId="5" fillId="2" borderId="2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7"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0" fillId="0" borderId="2" xfId="0" applyFont="1" applyBorder="1" applyAlignment="1">
      <alignment horizontal="center"/>
    </xf>
    <xf numFmtId="0" fontId="10" fillId="0" borderId="12" xfId="0" applyFont="1" applyBorder="1" applyAlignment="1">
      <alignment horizontal="right"/>
    </xf>
    <xf numFmtId="0" fontId="10" fillId="0" borderId="0" xfId="0" applyFont="1" applyAlignment="1">
      <alignment horizontal="right"/>
    </xf>
    <xf numFmtId="0" fontId="10" fillId="0" borderId="14" xfId="0" applyFont="1" applyBorder="1" applyAlignment="1">
      <alignment horizontal="right"/>
    </xf>
    <xf numFmtId="0" fontId="10" fillId="0" borderId="15" xfId="0" applyFont="1" applyBorder="1" applyAlignment="1">
      <alignment horizontal="right"/>
    </xf>
    <xf numFmtId="0" fontId="4" fillId="3" borderId="24" xfId="0" applyFont="1" applyFill="1" applyBorder="1" applyAlignment="1">
      <alignment horizontal="center"/>
    </xf>
    <xf numFmtId="0" fontId="4" fillId="3" borderId="25" xfId="0" applyFont="1" applyFill="1" applyBorder="1" applyAlignment="1">
      <alignment horizontal="center"/>
    </xf>
    <xf numFmtId="0" fontId="4" fillId="3" borderId="26" xfId="0" applyFont="1" applyFill="1" applyBorder="1" applyAlignment="1">
      <alignment horizontal="center"/>
    </xf>
    <xf numFmtId="0" fontId="7" fillId="3" borderId="0" xfId="0" applyFont="1" applyFill="1" applyAlignment="1">
      <alignment horizontal="center" wrapText="1"/>
    </xf>
    <xf numFmtId="177" fontId="7" fillId="3" borderId="0" xfId="0" applyNumberFormat="1" applyFont="1" applyFill="1" applyAlignment="1">
      <alignment horizontal="center" wrapText="1"/>
    </xf>
    <xf numFmtId="0" fontId="7" fillId="3" borderId="17" xfId="0" applyFont="1" applyFill="1" applyBorder="1" applyAlignment="1">
      <alignment horizontal="center" wrapText="1"/>
    </xf>
    <xf numFmtId="0" fontId="10" fillId="3" borderId="24" xfId="0" applyFont="1" applyFill="1" applyBorder="1" applyAlignment="1">
      <alignment horizontal="center"/>
    </xf>
    <xf numFmtId="0" fontId="10" fillId="3" borderId="25" xfId="0" applyFont="1" applyFill="1" applyBorder="1" applyAlignment="1">
      <alignment horizontal="center"/>
    </xf>
    <xf numFmtId="0" fontId="10" fillId="3" borderId="26" xfId="0" applyFont="1" applyFill="1" applyBorder="1" applyAlignment="1">
      <alignment horizontal="center"/>
    </xf>
    <xf numFmtId="0" fontId="7" fillId="0" borderId="0" xfId="0" applyFont="1" applyAlignment="1">
      <alignment horizontal="left" wrapText="1"/>
    </xf>
    <xf numFmtId="0" fontId="4" fillId="3" borderId="0" xfId="0" applyFont="1" applyFill="1" applyAlignment="1">
      <alignment horizontal="left" wrapText="1"/>
    </xf>
    <xf numFmtId="0" fontId="7" fillId="0" borderId="0" xfId="1" applyNumberFormat="1" applyFont="1" applyFill="1" applyBorder="1" applyAlignment="1">
      <alignment horizontal="left" wrapText="1"/>
    </xf>
    <xf numFmtId="0" fontId="4" fillId="5" borderId="20" xfId="0" applyFont="1" applyFill="1" applyBorder="1"/>
    <xf numFmtId="0" fontId="4" fillId="5" borderId="21" xfId="0" applyFont="1" applyFill="1" applyBorder="1"/>
    <xf numFmtId="0" fontId="4" fillId="5" borderId="12" xfId="0" applyFont="1" applyFill="1" applyBorder="1"/>
    <xf numFmtId="0" fontId="4" fillId="5" borderId="0" xfId="0" applyFont="1" applyFill="1"/>
    <xf numFmtId="0" fontId="4" fillId="5" borderId="14" xfId="0" applyFont="1" applyFill="1" applyBorder="1"/>
    <xf numFmtId="0" fontId="4" fillId="5" borderId="15" xfId="0" applyFont="1" applyFill="1" applyBorder="1"/>
    <xf numFmtId="0" fontId="5" fillId="5" borderId="12" xfId="0" applyFont="1" applyFill="1" applyBorder="1"/>
    <xf numFmtId="0" fontId="5" fillId="5" borderId="0" xfId="0" applyFont="1" applyFill="1"/>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6" xfId="0" applyFont="1" applyFill="1" applyBorder="1" applyAlignment="1">
      <alignment horizontal="center"/>
    </xf>
    <xf numFmtId="0" fontId="5" fillId="0" borderId="12" xfId="0" applyFont="1" applyBorder="1" applyAlignment="1">
      <alignment horizontal="left"/>
    </xf>
    <xf numFmtId="0" fontId="7" fillId="0" borderId="0" xfId="0" applyFont="1" applyAlignment="1">
      <alignment horizontal="center" wrapText="1"/>
    </xf>
    <xf numFmtId="0" fontId="7" fillId="0" borderId="0" xfId="0" quotePrefix="1" applyFont="1" applyAlignment="1">
      <alignment horizontal="center" wrapText="1"/>
    </xf>
    <xf numFmtId="0" fontId="12" fillId="2" borderId="6" xfId="0" applyFont="1" applyFill="1" applyBorder="1" applyAlignment="1">
      <alignment horizontal="center"/>
    </xf>
    <xf numFmtId="0" fontId="12" fillId="2" borderId="7" xfId="0" applyFont="1" applyFill="1" applyBorder="1" applyAlignment="1">
      <alignment horizontal="center"/>
    </xf>
    <xf numFmtId="0" fontId="12" fillId="2" borderId="8" xfId="0" applyFont="1" applyFill="1" applyBorder="1" applyAlignment="1">
      <alignment horizontal="center"/>
    </xf>
    <xf numFmtId="0" fontId="10" fillId="0" borderId="0" xfId="0" applyFont="1" applyAlignment="1">
      <alignment horizontal="left" vertical="top" wrapText="1"/>
    </xf>
    <xf numFmtId="0" fontId="10" fillId="3" borderId="0" xfId="0" applyFont="1" applyFill="1" applyAlignment="1">
      <alignment horizontal="left" vertical="top" wrapText="1"/>
    </xf>
  </cellXfs>
  <cellStyles count="4">
    <cellStyle name="百分比" xfId="2" builtinId="5"/>
    <cellStyle name="常规" xfId="0" builtinId="0"/>
    <cellStyle name="货币" xfId="1" builtinId="4"/>
    <cellStyle name="千位分隔" xfId="3" builtinId="3"/>
  </cellStyles>
  <dxfs count="36">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numFmt numFmtId="176" formatCode="_(* #,##0_);_(* \(#,##0\);_(* &quot;-&quot;??_);_(@_)"/>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numFmt numFmtId="176" formatCode="_(* #,##0_);_(* \(#,##0\);_(* &quot;-&quot;??_);_(@_)"/>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numFmt numFmtId="176" formatCode="_(* #,##0_);_(* \(#,##0\);_(* &quot;-&quot;??_);_(@_)"/>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numFmt numFmtId="176" formatCode="_(* #,##0_);_(* \(#,##0\);_(* &quot;-&quot;??_);_(@_)"/>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numFmt numFmtId="176"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[Denim Products B-差异分析-答案模板.xlsx]透视图-销售!PivotTable2</c:name>
    <c:fmtId val="3"/>
  </c:pivotSource>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华文楷体" panose="02010600040101010101" pitchFamily="2" charset="-122"/>
                <a:ea typeface="华文楷体" panose="02010600040101010101" pitchFamily="2" charset="-122"/>
                <a:cs typeface="+mn-cs"/>
              </a:defRPr>
            </a:pPr>
            <a:r>
              <a:rPr lang="en-US" baseline="0">
                <a:latin typeface="华文楷体" panose="02010600040101010101" pitchFamily="2" charset="-122"/>
                <a:ea typeface="华文楷体" panose="02010600040101010101" pitchFamily="2" charset="-122"/>
              </a:rPr>
              <a:t>DPI2018</a:t>
            </a:r>
            <a:r>
              <a:rPr lang="zh-CN" altLang="en-US" baseline="0">
                <a:latin typeface="华文楷体" panose="02010600040101010101" pitchFamily="2" charset="-122"/>
                <a:ea typeface="华文楷体" panose="02010600040101010101" pitchFamily="2" charset="-122"/>
              </a:rPr>
              <a:t>：销售差异</a:t>
            </a:r>
            <a:endParaRPr lang="en-US">
              <a:latin typeface="华文楷体" panose="02010600040101010101" pitchFamily="2" charset="-122"/>
              <a:ea typeface="华文楷体" panose="02010600040101010101" pitchFamily="2" charset="-122"/>
            </a:endParaRPr>
          </a:p>
        </c:rich>
      </c:tx>
      <c:overlay val="0"/>
      <c:spPr>
        <a:noFill/>
        <a:ln>
          <a:noFill/>
        </a:ln>
        <a:effectLst/>
      </c:spPr>
    </c:title>
    <c:autoTitleDeleted val="0"/>
    <c:pivotFmts>
      <c:pivotFmt>
        <c:idx val="0"/>
        <c:spPr>
          <a:solidFill>
            <a:schemeClr val="accent6"/>
          </a:solidFill>
          <a:ln>
            <a:noFill/>
          </a:ln>
          <a:effectLst/>
        </c:spPr>
        <c:marker>
          <c:symbol val="none"/>
        </c:marker>
        <c:dLbl>
          <c:idx val="0"/>
          <c:delete val="1"/>
          <c:extLst>
            <c:ext xmlns:c15="http://schemas.microsoft.com/office/drawing/2012/chart" uri="{CE6537A1-D6FC-4f65-9D91-7224C49458BB}"/>
          </c:extLst>
        </c:dLbl>
      </c:pivotFmt>
      <c:pivotFmt>
        <c:idx val="1"/>
        <c:spPr>
          <a:solidFill>
            <a:schemeClr val="accent5"/>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4"/>
          </a:solidFill>
          <a:ln>
            <a:noFill/>
          </a:ln>
          <a:effectLst/>
        </c:spPr>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'透视图-销售'!$G$1:$G$2</c:f>
              <c:strCache>
                <c:ptCount val="1"/>
                <c:pt idx="0">
                  <c:v>BBJ</c:v>
                </c:pt>
              </c:strCache>
            </c:strRef>
          </c:tx>
          <c:spPr>
            <a:solidFill>
              <a:schemeClr val="accent6"/>
            </a:solidFill>
            <a:ln>
              <a:noFill/>
            </a:ln>
            <a:effectLst/>
          </c:spPr>
          <c:invertIfNegative val="0"/>
          <c:cat>
            <c:multiLvlStrRef>
              <c:f>'透视图-销售'!$F$3:$F$8</c:f>
              <c:multiLvlStrCache>
                <c:ptCount val="3"/>
                <c:lvl>
                  <c:pt idx="0">
                    <c:v>销售组合差异</c:v>
                  </c:pt>
                  <c:pt idx="1">
                    <c:v>销售数量差异</c:v>
                  </c:pt>
                  <c:pt idx="2">
                    <c:v> </c:v>
                  </c:pt>
                </c:lvl>
                <c:lvl>
                  <c:pt idx="0">
                    <c:v>销售量差异</c:v>
                  </c:pt>
                  <c:pt idx="2">
                    <c:v>销售价格差异</c:v>
                  </c:pt>
                </c:lvl>
              </c:multiLvlStrCache>
            </c:multiLvlStrRef>
          </c:cat>
          <c:val>
            <c:numRef>
              <c:f>'透视图-销售'!$G$3:$G$8</c:f>
              <c:numCache>
                <c:formatCode>_(* #,##0_);_(* \(#,##0\);_(* "-"??_);_(@_)</c:formatCode>
                <c:ptCount val="3"/>
                <c:pt idx="0">
                  <c:v>-33026.411541984788</c:v>
                </c:pt>
                <c:pt idx="1">
                  <c:v>12904.689607584687</c:v>
                </c:pt>
                <c:pt idx="2">
                  <c:v>31080</c:v>
                </c:pt>
              </c:numCache>
            </c:numRef>
          </c:val>
          <c:extLst>
            <c:ext xmlns:c16="http://schemas.microsoft.com/office/drawing/2014/chart" uri="{C3380CC4-5D6E-409C-BE32-E72D297353CC}">
              <c16:uniqueId val="{00000000-8680-4C09-A694-F3B71447BFB7}"/>
            </c:ext>
          </c:extLst>
        </c:ser>
        <c:ser>
          <c:idx val="1"/>
          <c:order val="1"/>
          <c:tx>
            <c:strRef>
              <c:f>'透视图-销售'!$H$1:$H$2</c:f>
              <c:strCache>
                <c:ptCount val="1"/>
                <c:pt idx="0">
                  <c:v>EBJ</c:v>
                </c:pt>
              </c:strCache>
            </c:strRef>
          </c:tx>
          <c:spPr>
            <a:solidFill>
              <a:schemeClr val="accent5"/>
            </a:solidFill>
            <a:ln>
              <a:noFill/>
            </a:ln>
            <a:effectLst/>
          </c:spPr>
          <c:invertIfNegative val="0"/>
          <c:cat>
            <c:multiLvlStrRef>
              <c:f>'透视图-销售'!$F$3:$F$8</c:f>
              <c:multiLvlStrCache>
                <c:ptCount val="3"/>
                <c:lvl>
                  <c:pt idx="0">
                    <c:v>销售组合差异</c:v>
                  </c:pt>
                  <c:pt idx="1">
                    <c:v>销售数量差异</c:v>
                  </c:pt>
                  <c:pt idx="2">
                    <c:v> </c:v>
                  </c:pt>
                </c:lvl>
                <c:lvl>
                  <c:pt idx="0">
                    <c:v>销售量差异</c:v>
                  </c:pt>
                  <c:pt idx="2">
                    <c:v>销售价格差异</c:v>
                  </c:pt>
                </c:lvl>
              </c:multiLvlStrCache>
            </c:multiLvlStrRef>
          </c:cat>
          <c:val>
            <c:numRef>
              <c:f>'透视图-销售'!$H$3:$H$8</c:f>
              <c:numCache>
                <c:formatCode>_(* #,##0_);_(* \(#,##0\);_(* "-"??_);_(@_)</c:formatCode>
                <c:ptCount val="3"/>
                <c:pt idx="0">
                  <c:v>8580.1357027989961</c:v>
                </c:pt>
                <c:pt idx="1">
                  <c:v>12452.938462960967</c:v>
                </c:pt>
                <c:pt idx="2">
                  <c:v>-34160</c:v>
                </c:pt>
              </c:numCache>
            </c:numRef>
          </c:val>
          <c:extLst>
            <c:ext xmlns:c16="http://schemas.microsoft.com/office/drawing/2014/chart" uri="{C3380CC4-5D6E-409C-BE32-E72D297353CC}">
              <c16:uniqueId val="{00000001-8680-4C09-A694-F3B71447BFB7}"/>
            </c:ext>
          </c:extLst>
        </c:ser>
        <c:ser>
          <c:idx val="2"/>
          <c:order val="2"/>
          <c:tx>
            <c:strRef>
              <c:f>'透视图-销售'!$I$1:$I$2</c:f>
              <c:strCache>
                <c:ptCount val="1"/>
                <c:pt idx="0">
                  <c:v>JBJ</c:v>
                </c:pt>
              </c:strCache>
            </c:strRef>
          </c:tx>
          <c:spPr>
            <a:solidFill>
              <a:schemeClr val="accent4"/>
            </a:solidFill>
            <a:ln>
              <a:noFill/>
            </a:ln>
            <a:effectLst/>
          </c:spPr>
          <c:invertIfNegative val="0"/>
          <c:cat>
            <c:multiLvlStrRef>
              <c:f>'透视图-销售'!$F$3:$F$8</c:f>
              <c:multiLvlStrCache>
                <c:ptCount val="3"/>
                <c:lvl>
                  <c:pt idx="0">
                    <c:v>销售组合差异</c:v>
                  </c:pt>
                  <c:pt idx="1">
                    <c:v>销售数量差异</c:v>
                  </c:pt>
                  <c:pt idx="2">
                    <c:v> </c:v>
                  </c:pt>
                </c:lvl>
                <c:lvl>
                  <c:pt idx="0">
                    <c:v>销售量差异</c:v>
                  </c:pt>
                  <c:pt idx="2">
                    <c:v>销售价格差异</c:v>
                  </c:pt>
                </c:lvl>
              </c:multiLvlStrCache>
            </c:multiLvlStrRef>
          </c:cat>
          <c:val>
            <c:numRef>
              <c:f>'透视图-销售'!$I$3:$I$8</c:f>
              <c:numCache>
                <c:formatCode>_(* #,##0_);_(* \(#,##0\);_(* "-"??_);_(@_)</c:formatCode>
                <c:ptCount val="3"/>
                <c:pt idx="0">
                  <c:v>68841.533402544417</c:v>
                </c:pt>
                <c:pt idx="1">
                  <c:v>8141.2446878020983</c:v>
                </c:pt>
                <c:pt idx="2">
                  <c:v>10400</c:v>
                </c:pt>
              </c:numCache>
            </c:numRef>
          </c:val>
          <c:extLst>
            <c:ext xmlns:c16="http://schemas.microsoft.com/office/drawing/2014/chart" uri="{C3380CC4-5D6E-409C-BE32-E72D297353CC}">
              <c16:uniqueId val="{00000002-8680-4C09-A694-F3B71447BFB7}"/>
            </c:ext>
          </c:extLst>
        </c:ser>
        <c:dLbls>
          <c:showLegendKey val="0"/>
          <c:showVal val="0"/>
          <c:showCatName val="0"/>
          <c:showSerName val="0"/>
          <c:showPercent val="0"/>
          <c:showBubbleSize val="0"/>
        </c:dLbls>
        <c:gapWidth val="150"/>
        <c:axId val="-1243556112"/>
        <c:axId val="-1243552848"/>
      </c:barChart>
      <c:catAx>
        <c:axId val="-1243556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Times New Roman" panose="02020603050405020304" pitchFamily="18" charset="0"/>
              </a:defRPr>
            </a:pPr>
            <a:endParaRPr lang="zh-CN"/>
          </a:p>
        </c:txPr>
        <c:crossAx val="-1243552848"/>
        <c:crosses val="autoZero"/>
        <c:auto val="1"/>
        <c:lblAlgn val="ctr"/>
        <c:lblOffset val="100"/>
        <c:noMultiLvlLbl val="0"/>
      </c:catAx>
      <c:valAx>
        <c:axId val="-1243552848"/>
        <c:scaling>
          <c:orientation val="minMax"/>
        </c:scaling>
        <c:delete val="0"/>
        <c:axPos val="l"/>
        <c:numFmt formatCode="#,##0_);\(#,##0\)" sourceLinked="0"/>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Times New Roman" panose="02020603050405020304" pitchFamily="18" charset="0"/>
              </a:defRPr>
            </a:pPr>
            <a:endParaRPr lang="zh-CN"/>
          </a:p>
        </c:txPr>
        <c:crossAx val="-12435561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Times New Roman" panose="02020603050405020304" pitchFamily="18" charset="0"/>
              <a:ea typeface="华文楷体" panose="02010600040101010101" pitchFamily="2" charset="-122"/>
              <a:cs typeface="Times New Roman" panose="02020603050405020304" pitchFamily="18" charset="0"/>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[Denim Products B-差异分析-答案模板.xlsx]透视图-直接材料!PivotTable3</c:name>
    <c:fmtId val="3"/>
  </c:pivotSource>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华文楷体" panose="02010600040101010101" pitchFamily="2" charset="-122"/>
                <a:ea typeface="华文楷体" panose="02010600040101010101" pitchFamily="2" charset="-122"/>
                <a:cs typeface="+mn-cs"/>
              </a:defRPr>
            </a:pPr>
            <a:r>
              <a:rPr lang="en-US" baseline="0">
                <a:latin typeface="华文楷体" panose="02010600040101010101" pitchFamily="2" charset="-122"/>
                <a:ea typeface="华文楷体" panose="02010600040101010101" pitchFamily="2" charset="-122"/>
              </a:rPr>
              <a:t>DPI2018</a:t>
            </a:r>
            <a:r>
              <a:rPr lang="zh-CN" altLang="en-US" baseline="0">
                <a:latin typeface="华文楷体" panose="02010600040101010101" pitchFamily="2" charset="-122"/>
                <a:ea typeface="华文楷体" panose="02010600040101010101" pitchFamily="2" charset="-122"/>
              </a:rPr>
              <a:t>：直接材料差异</a:t>
            </a:r>
            <a:endParaRPr lang="en-US">
              <a:latin typeface="华文楷体" panose="02010600040101010101" pitchFamily="2" charset="-122"/>
              <a:ea typeface="华文楷体" panose="02010600040101010101" pitchFamily="2" charset="-122"/>
            </a:endParaRPr>
          </a:p>
        </c:rich>
      </c:tx>
      <c:layout>
        <c:manualLayout>
          <c:xMode val="edge"/>
          <c:yMode val="edge"/>
          <c:x val="0.31581597222222213"/>
          <c:y val="8.8746719160105E-2"/>
        </c:manualLayout>
      </c:layout>
      <c:overlay val="0"/>
      <c:spPr>
        <a:noFill/>
        <a:ln>
          <a:noFill/>
        </a:ln>
        <a:effectLst/>
      </c:spPr>
    </c:title>
    <c:autoTitleDeleted val="0"/>
    <c:pivotFmts>
      <c:pivotFmt>
        <c:idx val="0"/>
        <c:spPr>
          <a:solidFill>
            <a:schemeClr val="accent6"/>
          </a:solidFill>
          <a:ln>
            <a:noFill/>
          </a:ln>
          <a:effectLst/>
        </c:spPr>
        <c:marker>
          <c:symbol val="none"/>
        </c:marker>
        <c:dLbl>
          <c:idx val="0"/>
          <c:delete val="1"/>
          <c:extLst>
            <c:ext xmlns:c15="http://schemas.microsoft.com/office/drawing/2012/chart" uri="{CE6537A1-D6FC-4f65-9D91-7224C49458BB}"/>
          </c:extLst>
        </c:dLbl>
      </c:pivotFmt>
      <c:pivotFmt>
        <c:idx val="1"/>
        <c:spPr>
          <a:solidFill>
            <a:schemeClr val="accent5"/>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4"/>
          </a:solidFill>
          <a:ln>
            <a:noFill/>
          </a:ln>
          <a:effectLst/>
        </c:spPr>
        <c:marker>
          <c:symbol val="none"/>
        </c:marker>
        <c:dLbl>
          <c:idx val="0"/>
          <c:delete val="1"/>
          <c:extLst>
            <c:ext xmlns:c15="http://schemas.microsoft.com/office/drawing/2012/chart" uri="{CE6537A1-D6FC-4f65-9D91-7224C49458BB}"/>
          </c:extLst>
        </c:dLbl>
      </c:pivotFmt>
      <c:pivotFmt>
        <c:idx val="3"/>
        <c:spPr>
          <a:solidFill>
            <a:schemeClr val="accent6">
              <a:lumMod val="60000"/>
            </a:schemeClr>
          </a:solidFill>
          <a:ln>
            <a:noFill/>
          </a:ln>
          <a:effectLst/>
        </c:spPr>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'透视图-直接材料'!$G$3:$G$4</c:f>
              <c:strCache>
                <c:ptCount val="1"/>
                <c:pt idx="0">
                  <c:v>牛仔布</c:v>
                </c:pt>
              </c:strCache>
            </c:strRef>
          </c:tx>
          <c:spPr>
            <a:solidFill>
              <a:schemeClr val="accent6"/>
            </a:solidFill>
            <a:ln>
              <a:noFill/>
            </a:ln>
            <a:effectLst/>
          </c:spPr>
          <c:invertIfNegative val="0"/>
          <c:cat>
            <c:strRef>
              <c:f>'透视图-直接材料'!$F$5:$F$7</c:f>
              <c:strCache>
                <c:ptCount val="2"/>
                <c:pt idx="0">
                  <c:v>效率差异</c:v>
                </c:pt>
                <c:pt idx="1">
                  <c:v>价格差异</c:v>
                </c:pt>
              </c:strCache>
            </c:strRef>
          </c:cat>
          <c:val>
            <c:numRef>
              <c:f>'透视图-直接材料'!$G$5:$G$7</c:f>
              <c:numCache>
                <c:formatCode>_(* #,##0_);_(* \(#,##0\);_(* "-"??_);_(@_)</c:formatCode>
                <c:ptCount val="2"/>
                <c:pt idx="0">
                  <c:v>-14070</c:v>
                </c:pt>
                <c:pt idx="1">
                  <c:v>-47281.999999999804</c:v>
                </c:pt>
              </c:numCache>
            </c:numRef>
          </c:val>
          <c:extLst>
            <c:ext xmlns:c16="http://schemas.microsoft.com/office/drawing/2014/chart" uri="{C3380CC4-5D6E-409C-BE32-E72D297353CC}">
              <c16:uniqueId val="{00000000-2C12-4CF8-8223-28ECFEEDAA6A}"/>
            </c:ext>
          </c:extLst>
        </c:ser>
        <c:ser>
          <c:idx val="1"/>
          <c:order val="1"/>
          <c:tx>
            <c:strRef>
              <c:f>'透视图-直接材料'!$H$3:$H$4</c:f>
              <c:strCache>
                <c:ptCount val="1"/>
                <c:pt idx="0">
                  <c:v>亮片饰物</c:v>
                </c:pt>
              </c:strCache>
            </c:strRef>
          </c:tx>
          <c:spPr>
            <a:solidFill>
              <a:schemeClr val="accent5"/>
            </a:solidFill>
            <a:ln>
              <a:noFill/>
            </a:ln>
            <a:effectLst/>
          </c:spPr>
          <c:invertIfNegative val="0"/>
          <c:cat>
            <c:strRef>
              <c:f>'透视图-直接材料'!$F$5:$F$7</c:f>
              <c:strCache>
                <c:ptCount val="2"/>
                <c:pt idx="0">
                  <c:v>效率差异</c:v>
                </c:pt>
                <c:pt idx="1">
                  <c:v>价格差异</c:v>
                </c:pt>
              </c:strCache>
            </c:strRef>
          </c:cat>
          <c:val>
            <c:numRef>
              <c:f>'透视图-直接材料'!$H$5:$H$7</c:f>
              <c:numCache>
                <c:formatCode>_(* #,##0_);_(* \(#,##0\);_(* "-"??_);_(@_)</c:formatCode>
                <c:ptCount val="2"/>
                <c:pt idx="0">
                  <c:v>-21680.799999999999</c:v>
                </c:pt>
                <c:pt idx="1">
                  <c:v>2648.74999999999</c:v>
                </c:pt>
              </c:numCache>
            </c:numRef>
          </c:val>
          <c:extLst>
            <c:ext xmlns:c16="http://schemas.microsoft.com/office/drawing/2014/chart" uri="{C3380CC4-5D6E-409C-BE32-E72D297353CC}">
              <c16:uniqueId val="{00000001-2C12-4CF8-8223-28ECFEEDAA6A}"/>
            </c:ext>
          </c:extLst>
        </c:ser>
        <c:ser>
          <c:idx val="2"/>
          <c:order val="2"/>
          <c:tx>
            <c:strRef>
              <c:f>'透视图-直接材料'!$I$3:$I$4</c:f>
              <c:strCache>
                <c:ptCount val="1"/>
                <c:pt idx="0">
                  <c:v>针线</c:v>
                </c:pt>
              </c:strCache>
            </c:strRef>
          </c:tx>
          <c:spPr>
            <a:solidFill>
              <a:schemeClr val="accent4"/>
            </a:solidFill>
            <a:ln>
              <a:noFill/>
            </a:ln>
            <a:effectLst/>
          </c:spPr>
          <c:invertIfNegative val="0"/>
          <c:cat>
            <c:strRef>
              <c:f>'透视图-直接材料'!$F$5:$F$7</c:f>
              <c:strCache>
                <c:ptCount val="2"/>
                <c:pt idx="0">
                  <c:v>效率差异</c:v>
                </c:pt>
                <c:pt idx="1">
                  <c:v>价格差异</c:v>
                </c:pt>
              </c:strCache>
            </c:strRef>
          </c:cat>
          <c:val>
            <c:numRef>
              <c:f>'透视图-直接材料'!$I$5:$I$7</c:f>
              <c:numCache>
                <c:formatCode>_(* #,##0_);_(* \(#,##0\);_(* "-"??_);_(@_)</c:formatCode>
                <c:ptCount val="2"/>
                <c:pt idx="0">
                  <c:v>1353.924</c:v>
                </c:pt>
                <c:pt idx="1">
                  <c:v>12512</c:v>
                </c:pt>
              </c:numCache>
            </c:numRef>
          </c:val>
          <c:extLst>
            <c:ext xmlns:c16="http://schemas.microsoft.com/office/drawing/2014/chart" uri="{C3380CC4-5D6E-409C-BE32-E72D297353CC}">
              <c16:uniqueId val="{00000002-2C12-4CF8-8223-28ECFEEDAA6A}"/>
            </c:ext>
          </c:extLst>
        </c:ser>
        <c:ser>
          <c:idx val="3"/>
          <c:order val="3"/>
          <c:tx>
            <c:strRef>
              <c:f>'透视图-直接材料'!$J$3:$J$4</c:f>
              <c:strCache>
                <c:ptCount val="1"/>
                <c:pt idx="0">
                  <c:v>拉链</c:v>
                </c:pt>
              </c:strCache>
            </c:strRef>
          </c:tx>
          <c:spPr>
            <a:solidFill>
              <a:schemeClr val="accent6">
                <a:lumMod val="60000"/>
              </a:schemeClr>
            </a:solidFill>
            <a:ln>
              <a:noFill/>
            </a:ln>
            <a:effectLst/>
          </c:spPr>
          <c:invertIfNegative val="0"/>
          <c:cat>
            <c:strRef>
              <c:f>'透视图-直接材料'!$F$5:$F$7</c:f>
              <c:strCache>
                <c:ptCount val="2"/>
                <c:pt idx="0">
                  <c:v>效率差异</c:v>
                </c:pt>
                <c:pt idx="1">
                  <c:v>价格差异</c:v>
                </c:pt>
              </c:strCache>
            </c:strRef>
          </c:cat>
          <c:val>
            <c:numRef>
              <c:f>'透视图-直接材料'!$J$5:$J$7</c:f>
              <c:numCache>
                <c:formatCode>_(* #,##0_);_(* \(#,##0\);_(* "-"??_);_(@_)</c:formatCode>
                <c:ptCount val="2"/>
                <c:pt idx="0">
                  <c:v>0</c:v>
                </c:pt>
                <c:pt idx="1">
                  <c:v>5708.64</c:v>
                </c:pt>
              </c:numCache>
            </c:numRef>
          </c:val>
          <c:extLst>
            <c:ext xmlns:c16="http://schemas.microsoft.com/office/drawing/2014/chart" uri="{C3380CC4-5D6E-409C-BE32-E72D297353CC}">
              <c16:uniqueId val="{00000003-2C12-4CF8-8223-28ECFEEDAA6A}"/>
            </c:ext>
          </c:extLst>
        </c:ser>
        <c:dLbls>
          <c:showLegendKey val="0"/>
          <c:showVal val="0"/>
          <c:showCatName val="0"/>
          <c:showSerName val="0"/>
          <c:showPercent val="0"/>
          <c:showBubbleSize val="0"/>
        </c:dLbls>
        <c:gapWidth val="150"/>
        <c:axId val="-1243572976"/>
        <c:axId val="-1243558288"/>
      </c:barChart>
      <c:catAx>
        <c:axId val="-12435729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Times New Roman" panose="02020603050405020304" pitchFamily="18" charset="0"/>
              </a:defRPr>
            </a:pPr>
            <a:endParaRPr lang="zh-CN"/>
          </a:p>
        </c:txPr>
        <c:crossAx val="-1243558288"/>
        <c:crosses val="autoZero"/>
        <c:auto val="1"/>
        <c:lblAlgn val="ctr"/>
        <c:lblOffset val="100"/>
        <c:noMultiLvlLbl val="0"/>
      </c:catAx>
      <c:valAx>
        <c:axId val="-1243558288"/>
        <c:scaling>
          <c:orientation val="minMax"/>
        </c:scaling>
        <c:delete val="0"/>
        <c:axPos val="l"/>
        <c:numFmt formatCode="_(* #,##0_);_(* \(#,##0\);_(* &quot;-&quot;??_);_(@_)"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Times New Roman" panose="02020603050405020304" pitchFamily="18" charset="0"/>
              </a:defRPr>
            </a:pPr>
            <a:endParaRPr lang="zh-CN"/>
          </a:p>
        </c:txPr>
        <c:crossAx val="-12435729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Times New Roman" panose="02020603050405020304" pitchFamily="18" charset="0"/>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[Denim Products B-差异分析-答案模板.xlsx]透视图-直接人工!PivotTable4</c:name>
    <c:fmtId val="3"/>
  </c:pivotSource>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华文楷体" panose="02010600040101010101" pitchFamily="2" charset="-122"/>
                <a:ea typeface="华文楷体" panose="02010600040101010101" pitchFamily="2" charset="-122"/>
                <a:cs typeface="+mn-cs"/>
              </a:defRPr>
            </a:pPr>
            <a:r>
              <a:rPr lang="en-US">
                <a:latin typeface="华文楷体" panose="02010600040101010101" pitchFamily="2" charset="-122"/>
                <a:ea typeface="华文楷体" panose="02010600040101010101" pitchFamily="2" charset="-122"/>
              </a:rPr>
              <a:t>DPI2018</a:t>
            </a:r>
            <a:r>
              <a:rPr lang="zh-CN" altLang="en-US">
                <a:latin typeface="华文楷体" panose="02010600040101010101" pitchFamily="2" charset="-122"/>
                <a:ea typeface="华文楷体" panose="02010600040101010101" pitchFamily="2" charset="-122"/>
              </a:rPr>
              <a:t>：直接人工差异</a:t>
            </a:r>
            <a:endParaRPr lang="en-US">
              <a:latin typeface="华文楷体" panose="02010600040101010101" pitchFamily="2" charset="-122"/>
              <a:ea typeface="华文楷体" panose="02010600040101010101" pitchFamily="2" charset="-122"/>
            </a:endParaRPr>
          </a:p>
        </c:rich>
      </c:tx>
      <c:layout>
        <c:manualLayout>
          <c:xMode val="edge"/>
          <c:yMode val="edge"/>
          <c:x val="0.334331528871391"/>
          <c:y val="8.8746719160105E-2"/>
        </c:manualLayout>
      </c:layout>
      <c:overlay val="0"/>
      <c:spPr>
        <a:noFill/>
        <a:ln>
          <a:noFill/>
        </a:ln>
        <a:effectLst/>
      </c:spPr>
    </c:title>
    <c:autoTitleDeleted val="0"/>
    <c:pivotFmts>
      <c:pivotFmt>
        <c:idx val="0"/>
        <c:spPr>
          <a:solidFill>
            <a:schemeClr val="accent6"/>
          </a:solidFill>
          <a:ln>
            <a:noFill/>
          </a:ln>
          <a:effectLst/>
        </c:spPr>
        <c:marker>
          <c:symbol val="none"/>
        </c:marker>
        <c:dLbl>
          <c:idx val="0"/>
          <c:delete val="1"/>
          <c:extLst>
            <c:ext xmlns:c15="http://schemas.microsoft.com/office/drawing/2012/chart" uri="{CE6537A1-D6FC-4f65-9D91-7224C49458BB}"/>
          </c:extLst>
        </c:dLbl>
      </c:pivotFmt>
      <c:pivotFmt>
        <c:idx val="1"/>
        <c:spPr>
          <a:solidFill>
            <a:schemeClr val="accent5"/>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4"/>
          </a:solidFill>
          <a:ln>
            <a:noFill/>
          </a:ln>
          <a:effectLst/>
        </c:spPr>
        <c:marker>
          <c:symbol val="none"/>
        </c:marker>
        <c:dLbl>
          <c:idx val="0"/>
          <c:delete val="1"/>
          <c:extLst>
            <c:ext xmlns:c15="http://schemas.microsoft.com/office/drawing/2012/chart" uri="{CE6537A1-D6FC-4f65-9D91-7224C49458BB}"/>
          </c:extLst>
        </c:dLbl>
      </c:pivotFmt>
      <c:pivotFmt>
        <c:idx val="3"/>
        <c:spPr>
          <a:solidFill>
            <a:schemeClr val="accent6">
              <a:lumMod val="60000"/>
            </a:schemeClr>
          </a:solidFill>
          <a:ln>
            <a:noFill/>
          </a:ln>
          <a:effectLst/>
        </c:spPr>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'透视图-直接人工'!$G$3:$G$4</c:f>
              <c:strCache>
                <c:ptCount val="1"/>
                <c:pt idx="0">
                  <c:v>组装</c:v>
                </c:pt>
              </c:strCache>
            </c:strRef>
          </c:tx>
          <c:spPr>
            <a:solidFill>
              <a:schemeClr val="accent6"/>
            </a:solidFill>
            <a:ln>
              <a:noFill/>
            </a:ln>
            <a:effectLst/>
          </c:spPr>
          <c:invertIfNegative val="0"/>
          <c:cat>
            <c:strRef>
              <c:f>'透视图-直接人工'!$F$5:$F$7</c:f>
              <c:strCache>
                <c:ptCount val="2"/>
                <c:pt idx="0">
                  <c:v>效率差异</c:v>
                </c:pt>
                <c:pt idx="1">
                  <c:v>费率差异</c:v>
                </c:pt>
              </c:strCache>
            </c:strRef>
          </c:cat>
          <c:val>
            <c:numRef>
              <c:f>'透视图-直接人工'!$G$5:$G$7</c:f>
              <c:numCache>
                <c:formatCode>_(* #,##0_);_(* \(#,##0\);_(* "-"??_);_(@_)</c:formatCode>
                <c:ptCount val="2"/>
                <c:pt idx="0">
                  <c:v>8572.5999999999894</c:v>
                </c:pt>
                <c:pt idx="1">
                  <c:v>-7683.7664000000104</c:v>
                </c:pt>
              </c:numCache>
            </c:numRef>
          </c:val>
          <c:extLst>
            <c:ext xmlns:c16="http://schemas.microsoft.com/office/drawing/2014/chart" uri="{C3380CC4-5D6E-409C-BE32-E72D297353CC}">
              <c16:uniqueId val="{00000000-7A69-490B-AC7F-3948835A2602}"/>
            </c:ext>
          </c:extLst>
        </c:ser>
        <c:ser>
          <c:idx val="1"/>
          <c:order val="1"/>
          <c:tx>
            <c:strRef>
              <c:f>'透视图-直接人工'!$H$3:$H$4</c:f>
              <c:strCache>
                <c:ptCount val="1"/>
                <c:pt idx="0">
                  <c:v>裁减</c:v>
                </c:pt>
              </c:strCache>
            </c:strRef>
          </c:tx>
          <c:spPr>
            <a:solidFill>
              <a:schemeClr val="accent5"/>
            </a:solidFill>
            <a:ln>
              <a:noFill/>
            </a:ln>
            <a:effectLst/>
          </c:spPr>
          <c:invertIfNegative val="0"/>
          <c:cat>
            <c:strRef>
              <c:f>'透视图-直接人工'!$F$5:$F$7</c:f>
              <c:strCache>
                <c:ptCount val="2"/>
                <c:pt idx="0">
                  <c:v>效率差异</c:v>
                </c:pt>
                <c:pt idx="1">
                  <c:v>费率差异</c:v>
                </c:pt>
              </c:strCache>
            </c:strRef>
          </c:cat>
          <c:val>
            <c:numRef>
              <c:f>'透视图-直接人工'!$H$5:$H$7</c:f>
              <c:numCache>
                <c:formatCode>_(* #,##0_);_(* \(#,##0\);_(* "-"??_);_(@_)</c:formatCode>
                <c:ptCount val="2"/>
                <c:pt idx="0">
                  <c:v>2835.3</c:v>
                </c:pt>
                <c:pt idx="1">
                  <c:v>-5593.0016666667498</c:v>
                </c:pt>
              </c:numCache>
            </c:numRef>
          </c:val>
          <c:extLst>
            <c:ext xmlns:c16="http://schemas.microsoft.com/office/drawing/2014/chart" uri="{C3380CC4-5D6E-409C-BE32-E72D297353CC}">
              <c16:uniqueId val="{00000001-7A69-490B-AC7F-3948835A2602}"/>
            </c:ext>
          </c:extLst>
        </c:ser>
        <c:ser>
          <c:idx val="2"/>
          <c:order val="2"/>
          <c:tx>
            <c:strRef>
              <c:f>'透视图-直接人工'!$I$3:$I$4</c:f>
              <c:strCache>
                <c:ptCount val="1"/>
                <c:pt idx="0">
                  <c:v>装饰</c:v>
                </c:pt>
              </c:strCache>
            </c:strRef>
          </c:tx>
          <c:spPr>
            <a:solidFill>
              <a:schemeClr val="accent4"/>
            </a:solidFill>
            <a:ln>
              <a:noFill/>
            </a:ln>
            <a:effectLst/>
          </c:spPr>
          <c:invertIfNegative val="0"/>
          <c:cat>
            <c:strRef>
              <c:f>'透视图-直接人工'!$F$5:$F$7</c:f>
              <c:strCache>
                <c:ptCount val="2"/>
                <c:pt idx="0">
                  <c:v>效率差异</c:v>
                </c:pt>
                <c:pt idx="1">
                  <c:v>费率差异</c:v>
                </c:pt>
              </c:strCache>
            </c:strRef>
          </c:cat>
          <c:val>
            <c:numRef>
              <c:f>'透视图-直接人工'!$I$5:$I$7</c:f>
              <c:numCache>
                <c:formatCode>_(* #,##0_);_(* \(#,##0\);_(* "-"??_);_(@_)</c:formatCode>
                <c:ptCount val="2"/>
                <c:pt idx="0">
                  <c:v>-82206.366666666698</c:v>
                </c:pt>
                <c:pt idx="1">
                  <c:v>-23374.612499999999</c:v>
                </c:pt>
              </c:numCache>
            </c:numRef>
          </c:val>
          <c:extLst>
            <c:ext xmlns:c16="http://schemas.microsoft.com/office/drawing/2014/chart" uri="{C3380CC4-5D6E-409C-BE32-E72D297353CC}">
              <c16:uniqueId val="{00000002-7A69-490B-AC7F-3948835A2602}"/>
            </c:ext>
          </c:extLst>
        </c:ser>
        <c:ser>
          <c:idx val="3"/>
          <c:order val="3"/>
          <c:tx>
            <c:strRef>
              <c:f>'透视图-直接人工'!$J$3:$J$4</c:f>
              <c:strCache>
                <c:ptCount val="1"/>
                <c:pt idx="0">
                  <c:v>刺绣</c:v>
                </c:pt>
              </c:strCache>
            </c:strRef>
          </c:tx>
          <c:spPr>
            <a:solidFill>
              <a:schemeClr val="accent6">
                <a:lumMod val="60000"/>
              </a:schemeClr>
            </a:solidFill>
            <a:ln>
              <a:noFill/>
            </a:ln>
            <a:effectLst/>
          </c:spPr>
          <c:invertIfNegative val="0"/>
          <c:cat>
            <c:strRef>
              <c:f>'透视图-直接人工'!$F$5:$F$7</c:f>
              <c:strCache>
                <c:ptCount val="2"/>
                <c:pt idx="0">
                  <c:v>效率差异</c:v>
                </c:pt>
                <c:pt idx="1">
                  <c:v>费率差异</c:v>
                </c:pt>
              </c:strCache>
            </c:strRef>
          </c:cat>
          <c:val>
            <c:numRef>
              <c:f>'透视图-直接人工'!$J$5:$J$7</c:f>
              <c:numCache>
                <c:formatCode>_(* #,##0_);_(* \(#,##0\);_(* "-"??_);_(@_)</c:formatCode>
                <c:ptCount val="2"/>
                <c:pt idx="0">
                  <c:v>-8968.5199999999804</c:v>
                </c:pt>
                <c:pt idx="1">
                  <c:v>-13523.937</c:v>
                </c:pt>
              </c:numCache>
            </c:numRef>
          </c:val>
          <c:extLst>
            <c:ext xmlns:c16="http://schemas.microsoft.com/office/drawing/2014/chart" uri="{C3380CC4-5D6E-409C-BE32-E72D297353CC}">
              <c16:uniqueId val="{00000003-7A69-490B-AC7F-3948835A2602}"/>
            </c:ext>
          </c:extLst>
        </c:ser>
        <c:dLbls>
          <c:showLegendKey val="0"/>
          <c:showVal val="0"/>
          <c:showCatName val="0"/>
          <c:showSerName val="0"/>
          <c:showPercent val="0"/>
          <c:showBubbleSize val="0"/>
        </c:dLbls>
        <c:gapWidth val="150"/>
        <c:axId val="-1243574064"/>
        <c:axId val="-1243554480"/>
      </c:barChart>
      <c:catAx>
        <c:axId val="-124357406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Times New Roman" panose="02020603050405020304" pitchFamily="18" charset="0"/>
              </a:defRPr>
            </a:pPr>
            <a:endParaRPr lang="zh-CN"/>
          </a:p>
        </c:txPr>
        <c:crossAx val="-1243554480"/>
        <c:crosses val="autoZero"/>
        <c:auto val="1"/>
        <c:lblAlgn val="ctr"/>
        <c:lblOffset val="100"/>
        <c:noMultiLvlLbl val="0"/>
      </c:catAx>
      <c:valAx>
        <c:axId val="-1243554480"/>
        <c:scaling>
          <c:orientation val="minMax"/>
        </c:scaling>
        <c:delete val="0"/>
        <c:axPos val="l"/>
        <c:numFmt formatCode="_(* #,##0_);_(* \(#,##0\);_(* &quot;-&quot;??_);_(@_)"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mn-cs"/>
              </a:defRPr>
            </a:pPr>
            <a:endParaRPr lang="zh-CN"/>
          </a:p>
        </c:txPr>
        <c:crossAx val="-12435740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Times New Roman" panose="02020603050405020304" pitchFamily="18" charset="0"/>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[Denim Products B-差异分析-答案模板.xlsx]透视图-间接费用!PivotTable5</c:name>
    <c:fmtId val="3"/>
  </c:pivotSource>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华文楷体" panose="02010600040101010101" pitchFamily="2" charset="-122"/>
                <a:ea typeface="华文楷体" panose="02010600040101010101" pitchFamily="2" charset="-122"/>
                <a:cs typeface="Times New Roman" panose="02020603050405020304" pitchFamily="18" charset="0"/>
              </a:defRPr>
            </a:pPr>
            <a:r>
              <a:rPr lang="en-US" baseline="0">
                <a:latin typeface="华文楷体" panose="02010600040101010101" pitchFamily="2" charset="-122"/>
                <a:ea typeface="华文楷体" panose="02010600040101010101" pitchFamily="2" charset="-122"/>
                <a:cs typeface="Times New Roman" panose="02020603050405020304" pitchFamily="18" charset="0"/>
              </a:rPr>
              <a:t>DPI2018</a:t>
            </a:r>
            <a:r>
              <a:rPr lang="zh-CN" altLang="en-US" baseline="0">
                <a:latin typeface="华文楷体" panose="02010600040101010101" pitchFamily="2" charset="-122"/>
                <a:ea typeface="华文楷体" panose="02010600040101010101" pitchFamily="2" charset="-122"/>
                <a:cs typeface="Times New Roman" panose="02020603050405020304" pitchFamily="18" charset="0"/>
              </a:rPr>
              <a:t>：间接费用差异</a:t>
            </a:r>
            <a:endParaRPr lang="en-US">
              <a:latin typeface="华文楷体" panose="02010600040101010101" pitchFamily="2" charset="-122"/>
              <a:ea typeface="华文楷体" panose="02010600040101010101" pitchFamily="2" charset="-122"/>
              <a:cs typeface="Times New Roman" panose="02020603050405020304" pitchFamily="18" charset="0"/>
            </a:endParaRPr>
          </a:p>
        </c:rich>
      </c:tx>
      <c:overlay val="0"/>
      <c:spPr>
        <a:noFill/>
        <a:ln>
          <a:noFill/>
        </a:ln>
        <a:effectLst/>
      </c:spPr>
    </c:title>
    <c:autoTitleDeleted val="0"/>
    <c:pivotFmts>
      <c:pivotFmt>
        <c:idx val="0"/>
        <c:spPr>
          <a:solidFill>
            <a:schemeClr val="accent6"/>
          </a:solidFill>
          <a:ln>
            <a:noFill/>
          </a:ln>
          <a:effectLst/>
        </c:spPr>
        <c:marker>
          <c:symbol val="none"/>
        </c:marker>
        <c:dLbl>
          <c:idx val="0"/>
          <c:delete val="1"/>
          <c:extLst>
            <c:ext xmlns:c15="http://schemas.microsoft.com/office/drawing/2012/chart" uri="{CE6537A1-D6FC-4f65-9D91-7224C49458BB}"/>
          </c:extLst>
        </c:dLbl>
      </c:pivotFmt>
      <c:pivotFmt>
        <c:idx val="1"/>
        <c:spPr>
          <a:solidFill>
            <a:schemeClr val="accent5"/>
          </a:solidFill>
          <a:ln>
            <a:noFill/>
          </a:ln>
          <a:effectLst/>
        </c:spPr>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'透视图-间接费用'!$F$1:$F$2</c:f>
              <c:strCache>
                <c:ptCount val="1"/>
                <c:pt idx="0">
                  <c:v>固定间接费用</c:v>
                </c:pt>
              </c:strCache>
            </c:strRef>
          </c:tx>
          <c:spPr>
            <a:solidFill>
              <a:schemeClr val="accent6"/>
            </a:solidFill>
            <a:ln>
              <a:noFill/>
            </a:ln>
            <a:effectLst/>
          </c:spPr>
          <c:invertIfNegative val="0"/>
          <c:cat>
            <c:strRef>
              <c:f>'透视图-间接费用'!$E$3:$E$6</c:f>
              <c:strCache>
                <c:ptCount val="3"/>
                <c:pt idx="0">
                  <c:v>效率差异</c:v>
                </c:pt>
                <c:pt idx="1">
                  <c:v>支出差异</c:v>
                </c:pt>
                <c:pt idx="2">
                  <c:v>数量差异</c:v>
                </c:pt>
              </c:strCache>
            </c:strRef>
          </c:cat>
          <c:val>
            <c:numRef>
              <c:f>'透视图-间接费用'!$F$3:$F$6</c:f>
              <c:numCache>
                <c:formatCode>_(* #,##0_);_(* \(#,##0\);_(* "-"??_);_(@_)</c:formatCode>
                <c:ptCount val="3"/>
                <c:pt idx="1">
                  <c:v>-12174</c:v>
                </c:pt>
                <c:pt idx="2">
                  <c:v>6668.2759008246203</c:v>
                </c:pt>
              </c:numCache>
            </c:numRef>
          </c:val>
          <c:extLst>
            <c:ext xmlns:c16="http://schemas.microsoft.com/office/drawing/2014/chart" uri="{C3380CC4-5D6E-409C-BE32-E72D297353CC}">
              <c16:uniqueId val="{00000000-BD9A-40AB-9B73-6621F23A69FB}"/>
            </c:ext>
          </c:extLst>
        </c:ser>
        <c:ser>
          <c:idx val="1"/>
          <c:order val="1"/>
          <c:tx>
            <c:strRef>
              <c:f>'透视图-间接费用'!$G$1:$G$2</c:f>
              <c:strCache>
                <c:ptCount val="1"/>
                <c:pt idx="0">
                  <c:v>变动间接费用</c:v>
                </c:pt>
              </c:strCache>
            </c:strRef>
          </c:tx>
          <c:spPr>
            <a:solidFill>
              <a:schemeClr val="accent5"/>
            </a:solidFill>
            <a:ln>
              <a:noFill/>
            </a:ln>
            <a:effectLst/>
          </c:spPr>
          <c:invertIfNegative val="0"/>
          <c:cat>
            <c:strRef>
              <c:f>'透视图-间接费用'!$E$3:$E$6</c:f>
              <c:strCache>
                <c:ptCount val="3"/>
                <c:pt idx="0">
                  <c:v>效率差异</c:v>
                </c:pt>
                <c:pt idx="1">
                  <c:v>支出差异</c:v>
                </c:pt>
                <c:pt idx="2">
                  <c:v>数量差异</c:v>
                </c:pt>
              </c:strCache>
            </c:strRef>
          </c:cat>
          <c:val>
            <c:numRef>
              <c:f>'透视图-间接费用'!$G$3:$G$6</c:f>
              <c:numCache>
                <c:formatCode>_(* #,##0_);_(* \(#,##0\);_(* "-"??_);_(@_)</c:formatCode>
                <c:ptCount val="3"/>
                <c:pt idx="0">
                  <c:v>7930.0433333333403</c:v>
                </c:pt>
                <c:pt idx="1">
                  <c:v>-17545.71</c:v>
                </c:pt>
              </c:numCache>
            </c:numRef>
          </c:val>
          <c:extLst>
            <c:ext xmlns:c16="http://schemas.microsoft.com/office/drawing/2014/chart" uri="{C3380CC4-5D6E-409C-BE32-E72D297353CC}">
              <c16:uniqueId val="{00000001-BD9A-40AB-9B73-6621F23A69FB}"/>
            </c:ext>
          </c:extLst>
        </c:ser>
        <c:dLbls>
          <c:showLegendKey val="0"/>
          <c:showVal val="0"/>
          <c:showCatName val="0"/>
          <c:showSerName val="0"/>
          <c:showPercent val="0"/>
          <c:showBubbleSize val="0"/>
        </c:dLbls>
        <c:gapWidth val="150"/>
        <c:axId val="-1243562640"/>
        <c:axId val="-1243564816"/>
      </c:barChart>
      <c:catAx>
        <c:axId val="-12435626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mn-cs"/>
              </a:defRPr>
            </a:pPr>
            <a:endParaRPr lang="zh-CN"/>
          </a:p>
        </c:txPr>
        <c:crossAx val="-1243564816"/>
        <c:crosses val="autoZero"/>
        <c:auto val="1"/>
        <c:lblAlgn val="ctr"/>
        <c:lblOffset val="100"/>
        <c:noMultiLvlLbl val="0"/>
      </c:catAx>
      <c:valAx>
        <c:axId val="-1243564816"/>
        <c:scaling>
          <c:orientation val="minMax"/>
        </c:scaling>
        <c:delete val="0"/>
        <c:axPos val="l"/>
        <c:numFmt formatCode="_(* #,##0_);_(* \(#,##0\);_(* &quot;-&quot;??_);_(@_)"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mn-cs"/>
              </a:defRPr>
            </a:pPr>
            <a:endParaRPr lang="zh-CN"/>
          </a:p>
        </c:txPr>
        <c:crossAx val="-12435626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[Denim Products B-差异分析-答案模板.xlsx]透视图-销售与管理费用!PivotTable6</c:name>
    <c:fmtId val="3"/>
  </c:pivotSource>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华文楷体" panose="02010600040101010101" pitchFamily="2" charset="-122"/>
                <a:ea typeface="华文楷体" panose="02010600040101010101" pitchFamily="2" charset="-122"/>
                <a:cs typeface="+mn-cs"/>
              </a:defRPr>
            </a:pPr>
            <a:r>
              <a:rPr lang="en-US">
                <a:latin typeface="华文楷体" panose="02010600040101010101" pitchFamily="2" charset="-122"/>
                <a:ea typeface="华文楷体" panose="02010600040101010101" pitchFamily="2" charset="-122"/>
              </a:rPr>
              <a:t>DPI2018</a:t>
            </a:r>
            <a:r>
              <a:rPr lang="zh-CN" altLang="en-US">
                <a:latin typeface="华文楷体" panose="02010600040101010101" pitchFamily="2" charset="-122"/>
                <a:ea typeface="华文楷体" panose="02010600040101010101" pitchFamily="2" charset="-122"/>
              </a:rPr>
              <a:t>：销售与管理费用差异</a:t>
            </a:r>
            <a:endParaRPr lang="en-US">
              <a:latin typeface="华文楷体" panose="02010600040101010101" pitchFamily="2" charset="-122"/>
              <a:ea typeface="华文楷体" panose="02010600040101010101" pitchFamily="2" charset="-122"/>
            </a:endParaRPr>
          </a:p>
        </c:rich>
      </c:tx>
      <c:overlay val="0"/>
      <c:spPr>
        <a:noFill/>
        <a:ln>
          <a:noFill/>
        </a:ln>
        <a:effectLst/>
      </c:spPr>
    </c:title>
    <c:autoTitleDeleted val="0"/>
    <c:pivotFmts>
      <c:pivotFmt>
        <c:idx val="0"/>
        <c:spPr>
          <a:solidFill>
            <a:schemeClr val="accent6"/>
          </a:solidFill>
          <a:ln>
            <a:noFill/>
          </a:ln>
          <a:effectLst/>
        </c:spPr>
        <c:marker>
          <c:symbol val="none"/>
        </c:marker>
        <c:dLbl>
          <c:idx val="0"/>
          <c:delete val="1"/>
          <c:extLst>
            <c:ext xmlns:c15="http://schemas.microsoft.com/office/drawing/2012/chart" uri="{CE6537A1-D6FC-4f65-9D91-7224C49458BB}"/>
          </c:extLst>
        </c:dLbl>
      </c:pivotFmt>
      <c:pivotFmt>
        <c:idx val="1"/>
        <c:spPr>
          <a:solidFill>
            <a:schemeClr val="accent5"/>
          </a:solidFill>
          <a:ln>
            <a:noFill/>
          </a:ln>
          <a:effectLst/>
        </c:spPr>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'透视图-销售与管理费用'!$F$1:$F$2</c:f>
              <c:strCache>
                <c:ptCount val="1"/>
                <c:pt idx="0">
                  <c:v>固定销售与管理费用</c:v>
                </c:pt>
              </c:strCache>
            </c:strRef>
          </c:tx>
          <c:spPr>
            <a:solidFill>
              <a:schemeClr val="accent6"/>
            </a:solidFill>
            <a:ln>
              <a:noFill/>
            </a:ln>
            <a:effectLst/>
          </c:spPr>
          <c:invertIfNegative val="0"/>
          <c:cat>
            <c:strRef>
              <c:f>'透视图-销售与管理费用'!$E$3:$E$5</c:f>
              <c:strCache>
                <c:ptCount val="2"/>
                <c:pt idx="0">
                  <c:v>费率差异</c:v>
                </c:pt>
                <c:pt idx="1">
                  <c:v>支出差异</c:v>
                </c:pt>
              </c:strCache>
            </c:strRef>
          </c:cat>
          <c:val>
            <c:numRef>
              <c:f>'透视图-销售与管理费用'!$F$3:$F$5</c:f>
              <c:numCache>
                <c:formatCode>_(* #,##0_);_(* \(#,##0\);_(* "-"??_);_(@_)</c:formatCode>
                <c:ptCount val="2"/>
                <c:pt idx="1">
                  <c:v>-1002.78999999999</c:v>
                </c:pt>
              </c:numCache>
            </c:numRef>
          </c:val>
          <c:extLst>
            <c:ext xmlns:c16="http://schemas.microsoft.com/office/drawing/2014/chart" uri="{C3380CC4-5D6E-409C-BE32-E72D297353CC}">
              <c16:uniqueId val="{00000000-D81C-4FE0-B869-9FCB4B3A1273}"/>
            </c:ext>
          </c:extLst>
        </c:ser>
        <c:ser>
          <c:idx val="1"/>
          <c:order val="1"/>
          <c:tx>
            <c:strRef>
              <c:f>'透视图-销售与管理费用'!$G$1:$G$2</c:f>
              <c:strCache>
                <c:ptCount val="1"/>
                <c:pt idx="0">
                  <c:v>变动销售与管理费用</c:v>
                </c:pt>
              </c:strCache>
            </c:strRef>
          </c:tx>
          <c:spPr>
            <a:solidFill>
              <a:schemeClr val="accent5"/>
            </a:solidFill>
            <a:ln>
              <a:noFill/>
            </a:ln>
            <a:effectLst/>
          </c:spPr>
          <c:invertIfNegative val="0"/>
          <c:cat>
            <c:strRef>
              <c:f>'透视图-销售与管理费用'!$E$3:$E$5</c:f>
              <c:strCache>
                <c:ptCount val="2"/>
                <c:pt idx="0">
                  <c:v>费率差异</c:v>
                </c:pt>
                <c:pt idx="1">
                  <c:v>支出差异</c:v>
                </c:pt>
              </c:strCache>
            </c:strRef>
          </c:cat>
          <c:val>
            <c:numRef>
              <c:f>'透视图-销售与管理费用'!$G$3:$G$5</c:f>
              <c:numCache>
                <c:formatCode>_(* #,##0_);_(* \(#,##0\);_(* "-"??_);_(@_)</c:formatCode>
                <c:ptCount val="2"/>
                <c:pt idx="0">
                  <c:v>8326.8431999998902</c:v>
                </c:pt>
                <c:pt idx="1">
                  <c:v>13665.263999999999</c:v>
                </c:pt>
              </c:numCache>
            </c:numRef>
          </c:val>
          <c:extLst>
            <c:ext xmlns:c16="http://schemas.microsoft.com/office/drawing/2014/chart" uri="{C3380CC4-5D6E-409C-BE32-E72D297353CC}">
              <c16:uniqueId val="{00000001-D81C-4FE0-B869-9FCB4B3A1273}"/>
            </c:ext>
          </c:extLst>
        </c:ser>
        <c:dLbls>
          <c:showLegendKey val="0"/>
          <c:showVal val="0"/>
          <c:showCatName val="0"/>
          <c:showSerName val="0"/>
          <c:showPercent val="0"/>
          <c:showBubbleSize val="0"/>
        </c:dLbls>
        <c:gapWidth val="150"/>
        <c:axId val="-1243549584"/>
        <c:axId val="-1243572432"/>
      </c:barChart>
      <c:catAx>
        <c:axId val="-124354958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mn-cs"/>
              </a:defRPr>
            </a:pPr>
            <a:endParaRPr lang="zh-CN"/>
          </a:p>
        </c:txPr>
        <c:crossAx val="-1243572432"/>
        <c:crosses val="autoZero"/>
        <c:auto val="1"/>
        <c:lblAlgn val="ctr"/>
        <c:lblOffset val="100"/>
        <c:noMultiLvlLbl val="0"/>
      </c:catAx>
      <c:valAx>
        <c:axId val="-1243572432"/>
        <c:scaling>
          <c:orientation val="minMax"/>
        </c:scaling>
        <c:delete val="0"/>
        <c:axPos val="l"/>
        <c:numFmt formatCode="_(* #,##0_);_(* \(#,##0\);_(* &quot;-&quot;??_);_(@_)"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mn-cs"/>
              </a:defRPr>
            </a:pPr>
            <a:endParaRPr lang="zh-CN"/>
          </a:p>
        </c:txPr>
        <c:crossAx val="-12435495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华文楷体" panose="02010600040101010101" pitchFamily="2" charset="-122"/>
              <a:ea typeface="华文楷体" panose="02010600040101010101" pitchFamily="2" charset="-122"/>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rich>
          <a:bodyPr spcFirstLastPara="1" vertOverflow="ellipsis" horzOverflow="overflow" wrap="square" lIns="0" tIns="0" rIns="0" bIns="0" anchor="ctr" anchorCtr="1"/>
          <a:lstStyle/>
          <a:p>
            <a:pPr algn="ctr" rtl="0">
              <a:defRPr/>
            </a:pPr>
            <a:r>
              <a:rPr lang="en-US" altLang="zh-CN" sz="1400" b="0" i="0" u="none" strike="noStrike" baseline="0">
                <a:solidFill>
                  <a:sysClr val="windowText" lastClr="000000">
                    <a:lumMod val="65000"/>
                    <a:lumOff val="35000"/>
                  </a:sysClr>
                </a:solidFill>
                <a:latin typeface="Calibri"/>
                <a:ea typeface="等线" panose="02010600030101010101" pitchFamily="2" charset="-122"/>
              </a:rPr>
              <a:t>DPI</a:t>
            </a:r>
            <a:r>
              <a:rPr lang="zh-CN" altLang="en-US" sz="1400" b="0" i="0" u="none" strike="noStrike" baseline="0">
                <a:solidFill>
                  <a:sysClr val="windowText" lastClr="000000">
                    <a:lumMod val="65000"/>
                    <a:lumOff val="35000"/>
                  </a:sysClr>
                </a:solidFill>
                <a:latin typeface="Calibri"/>
                <a:ea typeface="等线" panose="02010600030101010101" pitchFamily="2" charset="-122"/>
              </a:rPr>
              <a:t>：</a:t>
            </a:r>
            <a:r>
              <a:rPr lang="en-US" altLang="zh-CN" sz="1400" b="0" i="0" u="none" strike="noStrike" baseline="0">
                <a:solidFill>
                  <a:sysClr val="windowText" lastClr="000000">
                    <a:lumMod val="65000"/>
                    <a:lumOff val="35000"/>
                  </a:sysClr>
                </a:solidFill>
                <a:latin typeface="Calibri"/>
                <a:ea typeface="等线" panose="02010600030101010101" pitchFamily="2" charset="-122"/>
              </a:rPr>
              <a:t>2018</a:t>
            </a:r>
            <a:r>
              <a:rPr lang="zh-CN" altLang="en-US" sz="1400" b="0" i="0" u="none" strike="noStrike" baseline="0">
                <a:solidFill>
                  <a:sysClr val="windowText" lastClr="000000">
                    <a:lumMod val="65000"/>
                    <a:lumOff val="35000"/>
                  </a:sysClr>
                </a:solidFill>
                <a:latin typeface="Calibri"/>
                <a:ea typeface="等线" panose="02010600030101010101" pitchFamily="2" charset="-122"/>
              </a:rPr>
              <a:t>年预算与实际利润的试算</a:t>
            </a:r>
          </a:p>
        </cx:rich>
      </cx:tx>
    </cx:title>
    <cx:plotArea>
      <cx:plotAreaRegion>
        <cx:series layoutId="waterfall" uniqueId="{7130AB9E-94B8-4E2C-BBBB-B8A6642F7B95}">
          <cx:dataLabels pos="outEnd">
            <cx:visibility seriesName="0" categoryName="0" value="1"/>
          </cx:dataLabels>
          <cx:dataId val="0"/>
          <cx:layoutPr>
            <cx:visibility connectorLines="1"/>
            <cx:subtotals>
              <cx:idx val="8"/>
            </cx:subtotals>
          </cx:layoutPr>
        </cx:series>
      </cx:plotAreaRegion>
      <cx:axis id="0">
        <cx:catScaling gapWidth="0.5"/>
        <cx:tickLabels/>
        <cx:txPr>
          <a:bodyPr spcFirstLastPara="1" vertOverflow="ellipsis" horzOverflow="overflow" wrap="square" lIns="0" tIns="0" rIns="0" bIns="0" anchor="ctr" anchorCtr="1"/>
          <a:lstStyle/>
          <a:p>
            <a:pPr algn="ctr" rtl="0">
              <a:defRPr/>
            </a:pPr>
            <a:endParaRPr lang="zh-CN" altLang="en-US" sz="900" b="0" i="0" u="none" strike="noStrike" baseline="0">
              <a:solidFill>
                <a:sysClr val="windowText" lastClr="000000">
                  <a:lumMod val="65000"/>
                  <a:lumOff val="35000"/>
                </a:sysClr>
              </a:solidFill>
              <a:latin typeface="Calibri"/>
              <a:ea typeface="等线" panose="02010600030101010101" pitchFamily="2" charset="-122"/>
            </a:endParaRPr>
          </a:p>
        </cx:txPr>
      </cx:axis>
      <cx:axis id="1">
        <cx:valScaling max="900000"/>
        <cx:majorGridlines/>
        <cx:tickLabels/>
      </cx:axis>
    </cx:plotArea>
    <cx:legend pos="t" align="ctr" overlay="0"/>
  </cx:chart>
</cx: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76198</xdr:colOff>
      <xdr:row>11</xdr:row>
      <xdr:rowOff>108858</xdr:rowOff>
    </xdr:from>
    <xdr:to>
      <xdr:col>7</xdr:col>
      <xdr:colOff>533400</xdr:colOff>
      <xdr:row>33</xdr:row>
      <xdr:rowOff>119742</xdr:rowOff>
    </xdr:to>
    <mc:AlternateContent xmlns:mc="http://schemas.openxmlformats.org/markup-compatibility/2006">
      <mc:Choice xmlns:cx1="http://schemas.microsoft.com/office/drawing/2015/9/8/chartex" Requires="cx1">
        <xdr:graphicFrame macro="">
          <xdr:nvGraphicFramePr>
            <xdr:cNvPr id="3" name="图表 2">
              <a:extLst>
                <a:ext uri="{FF2B5EF4-FFF2-40B4-BE49-F238E27FC236}">
                  <a16:creationId xmlns:a16="http://schemas.microsoft.com/office/drawing/2014/main" id="{1D99D290-C0B7-47E0-0FEF-55C93899E72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76198" y="2264229"/>
              <a:ext cx="7924802" cy="4321627"/>
            </a:xfrm>
            <a:prstGeom prst="rect">
              <a:avLst/>
            </a:prstGeom>
            <a:solidFill>
              <a:prstClr val="white"/>
            </a:solidFill>
            <a:ln w="1">
              <a:solidFill>
                <a:prstClr val="green"/>
              </a:solidFill>
            </a:ln>
          </xdr:spPr>
          <xdr:txBody>
            <a:bodyPr vertOverflow="clip" horzOverflow="clip"/>
            <a:lstStyle/>
            <a:p>
              <a:r>
                <a:rPr lang="zh-CN" altLang="en-US" sz="1100"/>
                <a:t>此图表在您的 Excel 版本中不可用。
编辑此形状或将此工作簿转换为其他文件格式将永久破坏图表。</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216535</xdr:colOff>
      <xdr:row>8</xdr:row>
      <xdr:rowOff>136525</xdr:rowOff>
    </xdr:from>
    <xdr:to>
      <xdr:col>13</xdr:col>
      <xdr:colOff>437515</xdr:colOff>
      <xdr:row>28</xdr:row>
      <xdr:rowOff>17145</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609599</xdr:colOff>
      <xdr:row>8</xdr:row>
      <xdr:rowOff>0</xdr:rowOff>
    </xdr:from>
    <xdr:to>
      <xdr:col>14</xdr:col>
      <xdr:colOff>47624</xdr:colOff>
      <xdr:row>27</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8</xdr:row>
      <xdr:rowOff>0</xdr:rowOff>
    </xdr:from>
    <xdr:to>
      <xdr:col>13</xdr:col>
      <xdr:colOff>514350</xdr:colOff>
      <xdr:row>27</xdr:row>
      <xdr:rowOff>38100</xdr:rowOff>
    </xdr:to>
    <xdr:graphicFrame macro="">
      <xdr:nvGraphicFramePr>
        <xdr:cNvPr id="5" name="Chart 4">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7</xdr:row>
      <xdr:rowOff>0</xdr:rowOff>
    </xdr:from>
    <xdr:to>
      <xdr:col>13</xdr:col>
      <xdr:colOff>304800</xdr:colOff>
      <xdr:row>26</xdr:row>
      <xdr:rowOff>38100</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6</xdr:row>
      <xdr:rowOff>0</xdr:rowOff>
    </xdr:from>
    <xdr:to>
      <xdr:col>13</xdr:col>
      <xdr:colOff>361950</xdr:colOff>
      <xdr:row>25</xdr:row>
      <xdr:rowOff>38100</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lakrishnan, Ramji" refreshedDate="44389.569198379599" createdVersion="7" refreshedVersion="7" minRefreshableVersion="3" recordCount="9" xr:uid="{00000000-000A-0000-FFFF-FFFF00000000}">
  <cacheSource type="worksheet">
    <worksheetSource ref="A2:D11" sheet="透视图-销售"/>
  </cacheSource>
  <cacheFields count="4">
    <cacheField name="Product" numFmtId="0">
      <sharedItems count="3">
        <s v="BBJ"/>
        <s v="EBJ"/>
        <s v="JBJ"/>
      </sharedItems>
    </cacheField>
    <cacheField name="Variance Level 1" numFmtId="0">
      <sharedItems count="3">
        <s v="Sales Volume Variance"/>
        <s v="Sales Price Variance"/>
        <s v="Price Variance" u="1"/>
      </sharedItems>
    </cacheField>
    <cacheField name="Variance Level 2" numFmtId="0">
      <sharedItems containsBlank="1" count="8">
        <s v="Sales Mix Variance"/>
        <s v="Sales Quantity Variance"/>
        <s v=" "/>
        <m u="1"/>
        <s v="Quantity Variance" u="1"/>
        <s v="Price Variance" u="1"/>
        <s v="." u="1"/>
        <s v="Mix Variance" u="1"/>
      </sharedItems>
    </cacheField>
    <cacheField name="Value" numFmtId="176">
      <sharedItems containsSemiMixedTypes="0" containsNonDate="0" containsString="0" containsNumber="1" minValue="-34160" maxValue="68841.533402544417"/>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lakrishnan, Ramji" refreshedDate="44389.569198379599" createdVersion="7" refreshedVersion="7" minRefreshableVersion="3" recordCount="16" xr:uid="{00000000-000A-0000-FFFF-FFFF01000000}">
  <cacheSource type="worksheet">
    <worksheetSource ref="A2:D18" sheet="透视图-直接材料"/>
  </cacheSource>
  <cacheFields count="4">
    <cacheField name="Product" numFmtId="0">
      <sharedItems count="4">
        <s v="Total"/>
        <s v="BBJ"/>
        <s v="EBJ"/>
        <s v="JBJ"/>
      </sharedItems>
    </cacheField>
    <cacheField name="Resource" numFmtId="0">
      <sharedItems count="4">
        <s v="Denim"/>
        <s v="Zippers"/>
        <s v="Thread"/>
        <s v="Embellishments"/>
      </sharedItems>
    </cacheField>
    <cacheField name="Variance" numFmtId="0">
      <sharedItems count="2">
        <s v="Price Variance"/>
        <s v="Efficiency Variance"/>
      </sharedItems>
    </cacheField>
    <cacheField name="Value" numFmtId="176">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lakrishnan, Ramji" refreshedDate="44389.569198495403" createdVersion="7" refreshedVersion="7" minRefreshableVersion="3" recordCount="3" xr:uid="{00000000-000A-0000-FFFF-FFFF02000000}">
  <cacheSource type="worksheet">
    <worksheetSource ref="A2:C5" sheet="透视图-销售与管理费用"/>
  </cacheSource>
  <cacheFields count="3">
    <cacheField name="Variance Level 1" numFmtId="0">
      <sharedItems count="2">
        <s v="Variable SGA"/>
        <s v="Fixed SGA"/>
      </sharedItems>
    </cacheField>
    <cacheField name="Variance Level 2" numFmtId="0">
      <sharedItems count="2">
        <s v="Rate Variance"/>
        <s v="Spending Variance"/>
      </sharedItems>
    </cacheField>
    <cacheField name="Value" numFmtId="176">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lakrishnan, Ramji" refreshedDate="44389.569198495403" createdVersion="7" refreshedVersion="7" minRefreshableVersion="3" recordCount="4" xr:uid="{00000000-000A-0000-FFFF-FFFF03000000}">
  <cacheSource type="worksheet">
    <worksheetSource ref="A2:C6" sheet="透视图-间接费用"/>
  </cacheSource>
  <cacheFields count="3">
    <cacheField name="Variance Level 1" numFmtId="0">
      <sharedItems count="2">
        <s v="VMOH"/>
        <s v="FMOH"/>
      </sharedItems>
    </cacheField>
    <cacheField name="Variance Level 2" numFmtId="0">
      <sharedItems count="3">
        <s v="Spending Variance"/>
        <s v="Efficiency Variance"/>
        <s v="Volume Variance"/>
      </sharedItems>
    </cacheField>
    <cacheField name="Value" numFmtId="176">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lakrishnan, Ramji" refreshedDate="44389.569198611098" createdVersion="7" refreshedVersion="7" minRefreshableVersion="3" recordCount="16" xr:uid="{00000000-000A-0000-FFFF-FFFF04000000}">
  <cacheSource type="worksheet">
    <worksheetSource ref="A2:D18" sheet="透视图-直接人工"/>
  </cacheSource>
  <cacheFields count="4">
    <cacheField name="Product" numFmtId="0">
      <sharedItems count="4">
        <s v="Total"/>
        <s v="BBJ"/>
        <s v="EBJ"/>
        <s v="JBJ"/>
      </sharedItems>
    </cacheField>
    <cacheField name="Process" numFmtId="0">
      <sharedItems count="4">
        <s v="Cutting"/>
        <s v="Embroidery"/>
        <s v="Embellishing"/>
        <s v="Assembly"/>
      </sharedItems>
    </cacheField>
    <cacheField name="Variance" numFmtId="0">
      <sharedItems count="2">
        <s v="Rate Variance"/>
        <s v="Efficiency Variance"/>
      </sharedItems>
    </cacheField>
    <cacheField name="Value" numFmtId="176">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x v="0"/>
    <x v="0"/>
    <n v="-33026.411541984788"/>
  </r>
  <r>
    <x v="1"/>
    <x v="0"/>
    <x v="0"/>
    <n v="8580.1357027989961"/>
  </r>
  <r>
    <x v="2"/>
    <x v="0"/>
    <x v="0"/>
    <n v="68841.533402544417"/>
  </r>
  <r>
    <x v="0"/>
    <x v="0"/>
    <x v="1"/>
    <n v="12904.689607584687"/>
  </r>
  <r>
    <x v="1"/>
    <x v="0"/>
    <x v="1"/>
    <n v="12452.938462960967"/>
  </r>
  <r>
    <x v="2"/>
    <x v="0"/>
    <x v="1"/>
    <n v="8141.2446878020983"/>
  </r>
  <r>
    <x v="0"/>
    <x v="1"/>
    <x v="2"/>
    <n v="31080"/>
  </r>
  <r>
    <x v="1"/>
    <x v="1"/>
    <x v="2"/>
    <n v="-34160"/>
  </r>
  <r>
    <x v="2"/>
    <x v="1"/>
    <x v="2"/>
    <n v="104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x v="0"/>
    <x v="0"/>
    <x v="0"/>
    <n v="-47281.999999999833"/>
  </r>
  <r>
    <x v="0"/>
    <x v="1"/>
    <x v="0"/>
    <n v="5708.6400000000049"/>
  </r>
  <r>
    <x v="0"/>
    <x v="2"/>
    <x v="0"/>
    <n v="12511.999999999995"/>
  </r>
  <r>
    <x v="0"/>
    <x v="3"/>
    <x v="0"/>
    <n v="2648.7499999999905"/>
  </r>
  <r>
    <x v="1"/>
    <x v="0"/>
    <x v="1"/>
    <n v="-9720"/>
  </r>
  <r>
    <x v="2"/>
    <x v="0"/>
    <x v="1"/>
    <n v="-20610.59999999986"/>
  </r>
  <r>
    <x v="3"/>
    <x v="0"/>
    <x v="1"/>
    <n v="16260.59999999986"/>
  </r>
  <r>
    <x v="1"/>
    <x v="1"/>
    <x v="1"/>
    <n v="0"/>
  </r>
  <r>
    <x v="2"/>
    <x v="1"/>
    <x v="1"/>
    <n v="0"/>
  </r>
  <r>
    <x v="3"/>
    <x v="1"/>
    <x v="1"/>
    <n v="0"/>
  </r>
  <r>
    <x v="1"/>
    <x v="2"/>
    <x v="1"/>
    <n v="486"/>
  </r>
  <r>
    <x v="2"/>
    <x v="2"/>
    <x v="1"/>
    <n v="1030.53"/>
  </r>
  <r>
    <x v="3"/>
    <x v="2"/>
    <x v="1"/>
    <n v="-162.60600000000034"/>
  </r>
  <r>
    <x v="1"/>
    <x v="3"/>
    <x v="1"/>
    <n v="0"/>
  </r>
  <r>
    <x v="2"/>
    <x v="3"/>
    <x v="1"/>
    <n v="0"/>
  </r>
  <r>
    <x v="3"/>
    <x v="3"/>
    <x v="1"/>
    <n v="-21680.800000000047"/>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x v="0"/>
    <n v="8326.8431999998866"/>
  </r>
  <r>
    <x v="0"/>
    <x v="1"/>
    <n v="13665.263999999966"/>
  </r>
  <r>
    <x v="1"/>
    <x v="1"/>
    <n v="-1002.7899999999936"/>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x v="0"/>
    <x v="0"/>
    <n v="-17545.709999999963"/>
  </r>
  <r>
    <x v="0"/>
    <x v="1"/>
    <n v="7930.0433333333422"/>
  </r>
  <r>
    <x v="1"/>
    <x v="2"/>
    <n v="6668.2759008246212"/>
  </r>
  <r>
    <x v="1"/>
    <x v="0"/>
    <n v="-12174"/>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x v="0"/>
    <x v="0"/>
    <x v="0"/>
    <n v="-5593.0016666667461"/>
  </r>
  <r>
    <x v="0"/>
    <x v="1"/>
    <x v="0"/>
    <n v="-13523.936999999978"/>
  </r>
  <r>
    <x v="0"/>
    <x v="2"/>
    <x v="0"/>
    <n v="-23374.61249999997"/>
  </r>
  <r>
    <x v="0"/>
    <x v="3"/>
    <x v="0"/>
    <n v="-7683.7664000000077"/>
  </r>
  <r>
    <x v="1"/>
    <x v="0"/>
    <x v="1"/>
    <n v="-4860"/>
  </r>
  <r>
    <x v="2"/>
    <x v="0"/>
    <x v="1"/>
    <n v="-2061.0599999999795"/>
  </r>
  <r>
    <x v="3"/>
    <x v="0"/>
    <x v="1"/>
    <n v="9756.3599999999751"/>
  </r>
  <r>
    <x v="1"/>
    <x v="1"/>
    <x v="1"/>
    <n v="-11880"/>
  </r>
  <r>
    <x v="2"/>
    <x v="1"/>
    <x v="1"/>
    <n v="-5038.1466666666565"/>
  </r>
  <r>
    <x v="3"/>
    <x v="1"/>
    <x v="1"/>
    <n v="7949.6266666666797"/>
  </r>
  <r>
    <x v="1"/>
    <x v="2"/>
    <x v="1"/>
    <n v="0"/>
  </r>
  <r>
    <x v="2"/>
    <x v="2"/>
    <x v="1"/>
    <n v="0"/>
  </r>
  <r>
    <x v="3"/>
    <x v="2"/>
    <x v="1"/>
    <n v="-82206.366666666654"/>
  </r>
  <r>
    <x v="1"/>
    <x v="3"/>
    <x v="1"/>
    <n v="4050"/>
  </r>
  <r>
    <x v="2"/>
    <x v="3"/>
    <x v="1"/>
    <n v="8587.7499999999964"/>
  </r>
  <r>
    <x v="3"/>
    <x v="3"/>
    <x v="1"/>
    <n v="-4065.150000000003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PivotTable2" cacheId="0" applyNumberFormats="0" applyBorderFormats="0" applyFontFormats="0" applyPatternFormats="0" applyAlignmentFormats="0" applyWidthHeightFormats="1" dataCaption="Values" updatedVersion="3" minRefreshableVersion="3" useAutoFormatting="1" createdVersion="7" indent="0" outline="1" outlineData="1" multipleFieldFilters="0" chartFormat="8" rowHeaderCaption="行标签" colHeaderCaption="列标签">
  <location ref="F1:J8" firstHeaderRow="1" firstDataRow="2" firstDataCol="1"/>
  <pivotFields count="4">
    <pivotField axis="axisCol" showAll="0">
      <items count="4">
        <item x="0"/>
        <item x="1"/>
        <item x="2"/>
        <item t="default"/>
      </items>
    </pivotField>
    <pivotField axis="axisRow" showAll="0">
      <items count="4">
        <item m="1" x="2"/>
        <item n="销售量差异" x="0"/>
        <item n="销售价格差异" x="1"/>
        <item t="default"/>
      </items>
    </pivotField>
    <pivotField axis="axisRow" showAll="0">
      <items count="9">
        <item m="1" x="7"/>
        <item m="1" x="5"/>
        <item m="1" x="4"/>
        <item m="1" x="6"/>
        <item m="1" x="3"/>
        <item x="2"/>
        <item n="销售组合差异" x="0"/>
        <item n="销售数量差异" x="1"/>
        <item t="default"/>
      </items>
    </pivotField>
    <pivotField dataField="1" numFmtId="176" showAll="0"/>
  </pivotFields>
  <rowFields count="2">
    <field x="1"/>
    <field x="2"/>
  </rowFields>
  <rowItems count="6">
    <i>
      <x v="1"/>
    </i>
    <i r="1">
      <x v="6"/>
    </i>
    <i r="1">
      <x v="7"/>
    </i>
    <i>
      <x v="2"/>
    </i>
    <i r="1">
      <x v="5"/>
    </i>
    <i t="grand">
      <x/>
    </i>
  </rowItems>
  <colFields count="1">
    <field x="0"/>
  </colFields>
  <colItems count="4">
    <i>
      <x/>
    </i>
    <i>
      <x v="1"/>
    </i>
    <i>
      <x v="2"/>
    </i>
    <i t="grand">
      <x/>
    </i>
  </colItems>
  <dataFields count="1">
    <dataField name="合计" fld="3" baseField="0" baseItem="0" numFmtId="176"/>
  </dataFields>
  <formats count="8">
    <format dxfId="35">
      <pivotArea outline="0" collapsedLevelsAreSubtotals="1" fieldPosition="0"/>
    </format>
    <format dxfId="34">
      <pivotArea type="all" dataOnly="0" outline="0" fieldPosition="0"/>
    </format>
    <format dxfId="33">
      <pivotArea outline="0" collapsedLevelsAreSubtotals="1" fieldPosition="0"/>
    </format>
    <format dxfId="32">
      <pivotArea dataOnly="0" labelOnly="1" fieldPosition="0">
        <references count="1">
          <reference field="1" count="0"/>
        </references>
      </pivotArea>
    </format>
    <format dxfId="31">
      <pivotArea dataOnly="0" labelOnly="1" grandRow="1" outline="0" fieldPosition="0"/>
    </format>
    <format dxfId="30">
      <pivotArea dataOnly="0" labelOnly="1" fieldPosition="0">
        <references count="2">
          <reference field="1" count="1" selected="0">
            <x v="1"/>
          </reference>
          <reference field="2" count="0"/>
        </references>
      </pivotArea>
    </format>
    <format dxfId="29">
      <pivotArea dataOnly="0" labelOnly="1" fieldPosition="0">
        <references count="1">
          <reference field="0" count="0"/>
        </references>
      </pivotArea>
    </format>
    <format dxfId="28">
      <pivotArea dataOnly="0" labelOnly="1" grandCol="1" outline="0" fieldPosition="0"/>
    </format>
  </formats>
  <chartFormats count="3">
    <chartFormat chart="3" format="0" series="1">
      <pivotArea type="data" outline="0" fieldPosition="0">
        <references count="2">
          <reference field="4294967294" count="1" selected="0">
            <x v="0"/>
          </reference>
          <reference field="0" count="1" selected="0">
            <x v="0"/>
          </reference>
        </references>
      </pivotArea>
    </chartFormat>
    <chartFormat chart="3" format="1" series="1">
      <pivotArea type="data" outline="0" fieldPosition="0">
        <references count="2">
          <reference field="4294967294" count="1" selected="0">
            <x v="0"/>
          </reference>
          <reference field="0" count="1" selected="0">
            <x v="1"/>
          </reference>
        </references>
      </pivotArea>
    </chartFormat>
    <chartFormat chart="3" format="2" series="1">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PivotTable3" cacheId="1" applyNumberFormats="0" applyBorderFormats="0" applyFontFormats="0" applyPatternFormats="0" applyAlignmentFormats="0" applyWidthHeightFormats="1" dataCaption="Values" updatedVersion="7" minRefreshableVersion="3" useAutoFormatting="1" createdVersion="7" indent="0" outline="1" outlineData="1" multipleFieldFilters="0" chartFormat="14" rowHeaderCaption="行标签">
  <location ref="F3:K7" firstHeaderRow="1" firstDataRow="2" firstDataCol="1" rowPageCount="1" colPageCount="1"/>
  <pivotFields count="4">
    <pivotField name="产品" axis="axisPage" showAll="0">
      <items count="5">
        <item x="1"/>
        <item x="2"/>
        <item x="3"/>
        <item x="0"/>
        <item t="default"/>
      </items>
    </pivotField>
    <pivotField axis="axisCol" showAll="0">
      <items count="5">
        <item n="牛仔布" x="0"/>
        <item n="亮片饰物" x="3"/>
        <item n="针线" x="2"/>
        <item n="拉链" x="1"/>
        <item t="default"/>
      </items>
    </pivotField>
    <pivotField axis="axisRow" showAll="0">
      <items count="3">
        <item n="效率差异" x="1"/>
        <item n="价格差异" x="0"/>
        <item t="default"/>
      </items>
    </pivotField>
    <pivotField dataField="1" numFmtId="176" showAll="0"/>
  </pivotFields>
  <rowFields count="1">
    <field x="2"/>
  </rowFields>
  <rowItems count="3">
    <i>
      <x/>
    </i>
    <i>
      <x v="1"/>
    </i>
    <i t="grand">
      <x/>
    </i>
  </rowItems>
  <colFields count="1">
    <field x="1"/>
  </colFields>
  <colItems count="5">
    <i>
      <x/>
    </i>
    <i>
      <x v="1"/>
    </i>
    <i>
      <x v="2"/>
    </i>
    <i>
      <x v="3"/>
    </i>
    <i t="grand">
      <x/>
    </i>
  </colItems>
  <pageFields count="1">
    <pageField fld="0" hier="0"/>
  </pageFields>
  <dataFields count="1">
    <dataField name="总和" fld="3" baseField="0" baseItem="0" numFmtId="176"/>
  </dataFields>
  <formats count="7">
    <format dxfId="27">
      <pivotArea outline="0" collapsedLevelsAreSubtotals="1" fieldPosition="0"/>
    </format>
    <format dxfId="26">
      <pivotArea type="all" dataOnly="0" outline="0" fieldPosition="0"/>
    </format>
    <format dxfId="25">
      <pivotArea outline="0" collapsedLevelsAreSubtotals="1" fieldPosition="0"/>
    </format>
    <format dxfId="24">
      <pivotArea dataOnly="0" labelOnly="1" fieldPosition="0">
        <references count="1">
          <reference field="2" count="0"/>
        </references>
      </pivotArea>
    </format>
    <format dxfId="23">
      <pivotArea dataOnly="0" labelOnly="1" grandRow="1" outline="0" fieldPosition="0"/>
    </format>
    <format dxfId="22">
      <pivotArea dataOnly="0" labelOnly="1" fieldPosition="0">
        <references count="1">
          <reference field="1" count="0"/>
        </references>
      </pivotArea>
    </format>
    <format dxfId="21">
      <pivotArea dataOnly="0" labelOnly="1" grandCol="1" outline="0" fieldPosition="0"/>
    </format>
  </formats>
  <chartFormats count="4">
    <chartFormat chart="3" format="0" series="1">
      <pivotArea type="data" outline="0" fieldPosition="0">
        <references count="2">
          <reference field="4294967294" count="1" selected="0">
            <x v="0"/>
          </reference>
          <reference field="1" count="1" selected="0">
            <x v="0"/>
          </reference>
        </references>
      </pivotArea>
    </chartFormat>
    <chartFormat chart="3" format="1" series="1">
      <pivotArea type="data" outline="0" fieldPosition="0">
        <references count="2">
          <reference field="4294967294" count="1" selected="0">
            <x v="0"/>
          </reference>
          <reference field="1" count="1" selected="0">
            <x v="1"/>
          </reference>
        </references>
      </pivotArea>
    </chartFormat>
    <chartFormat chart="3" format="2" series="1">
      <pivotArea type="data" outline="0" fieldPosition="0">
        <references count="2">
          <reference field="4294967294" count="1" selected="0">
            <x v="0"/>
          </reference>
          <reference field="1" count="1" selected="0">
            <x v="2"/>
          </reference>
        </references>
      </pivotArea>
    </chartFormat>
    <chartFormat chart="3" format="3" series="1">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PivotTable4" cacheId="4" applyNumberFormats="0" applyBorderFormats="0" applyFontFormats="0" applyPatternFormats="0" applyAlignmentFormats="0" applyWidthHeightFormats="1" dataCaption="Values" updatedVersion="7" minRefreshableVersion="3" useAutoFormatting="1" createdVersion="7" indent="0" outline="1" outlineData="1" multipleFieldFilters="0" chartFormat="4" rowHeaderCaption="行标签" colHeaderCaption="列标签">
  <location ref="F3:K7" firstHeaderRow="1" firstDataRow="2" firstDataCol="1" rowPageCount="1" colPageCount="1"/>
  <pivotFields count="4">
    <pivotField name="产品" axis="axisPage" showAll="0">
      <items count="5">
        <item x="1"/>
        <item x="2"/>
        <item x="3"/>
        <item x="0"/>
        <item t="default"/>
      </items>
    </pivotField>
    <pivotField axis="axisCol" showAll="0">
      <items count="5">
        <item n="组装" x="3"/>
        <item n="裁减" x="0"/>
        <item n="装饰" x="2"/>
        <item n="刺绣" x="1"/>
        <item t="default"/>
      </items>
    </pivotField>
    <pivotField axis="axisRow" showAll="0">
      <items count="3">
        <item n="效率差异" x="1"/>
        <item n="费率差异" x="0"/>
        <item t="default"/>
      </items>
    </pivotField>
    <pivotField dataField="1" numFmtId="176" showAll="0"/>
  </pivotFields>
  <rowFields count="1">
    <field x="2"/>
  </rowFields>
  <rowItems count="3">
    <i>
      <x/>
    </i>
    <i>
      <x v="1"/>
    </i>
    <i t="grand">
      <x/>
    </i>
  </rowItems>
  <colFields count="1">
    <field x="1"/>
  </colFields>
  <colItems count="5">
    <i>
      <x/>
    </i>
    <i>
      <x v="1"/>
    </i>
    <i>
      <x v="2"/>
    </i>
    <i>
      <x v="3"/>
    </i>
    <i t="grand">
      <x/>
    </i>
  </colItems>
  <pageFields count="1">
    <pageField fld="0" hier="0"/>
  </pageFields>
  <dataFields count="1">
    <dataField name="总和" fld="3" baseField="0" baseItem="0" numFmtId="176"/>
  </dataFields>
  <formats count="7">
    <format dxfId="20">
      <pivotArea outline="0" collapsedLevelsAreSubtotals="1" fieldPosition="0"/>
    </format>
    <format dxfId="19">
      <pivotArea type="all" dataOnly="0" outline="0" fieldPosition="0"/>
    </format>
    <format dxfId="18">
      <pivotArea outline="0" collapsedLevelsAreSubtotals="1" fieldPosition="0"/>
    </format>
    <format dxfId="17">
      <pivotArea dataOnly="0" labelOnly="1" fieldPosition="0">
        <references count="1">
          <reference field="2" count="0"/>
        </references>
      </pivotArea>
    </format>
    <format dxfId="16">
      <pivotArea dataOnly="0" labelOnly="1" grandRow="1" outline="0" fieldPosition="0"/>
    </format>
    <format dxfId="15">
      <pivotArea dataOnly="0" labelOnly="1" fieldPosition="0">
        <references count="1">
          <reference field="1" count="0"/>
        </references>
      </pivotArea>
    </format>
    <format dxfId="14">
      <pivotArea dataOnly="0" labelOnly="1" grandCol="1" outline="0" fieldPosition="0"/>
    </format>
  </formats>
  <chartFormats count="4">
    <chartFormat chart="3" format="0" series="1">
      <pivotArea type="data" outline="0" fieldPosition="0">
        <references count="2">
          <reference field="4294967294" count="1" selected="0">
            <x v="0"/>
          </reference>
          <reference field="1" count="1" selected="0">
            <x v="0"/>
          </reference>
        </references>
      </pivotArea>
    </chartFormat>
    <chartFormat chart="3" format="1" series="1">
      <pivotArea type="data" outline="0" fieldPosition="0">
        <references count="2">
          <reference field="4294967294" count="1" selected="0">
            <x v="0"/>
          </reference>
          <reference field="1" count="1" selected="0">
            <x v="1"/>
          </reference>
        </references>
      </pivotArea>
    </chartFormat>
    <chartFormat chart="3" format="2" series="1">
      <pivotArea type="data" outline="0" fieldPosition="0">
        <references count="2">
          <reference field="4294967294" count="1" selected="0">
            <x v="0"/>
          </reference>
          <reference field="1" count="1" selected="0">
            <x v="2"/>
          </reference>
        </references>
      </pivotArea>
    </chartFormat>
    <chartFormat chart="3" format="3" series="1">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5" cacheId="3" applyNumberFormats="0" applyBorderFormats="0" applyFontFormats="0" applyPatternFormats="0" applyAlignmentFormats="0" applyWidthHeightFormats="1" dataCaption="Values" updatedVersion="7" minRefreshableVersion="3" useAutoFormatting="1" createdVersion="7" indent="0" outline="1" outlineData="1" multipleFieldFilters="0" chartFormat="4" rowHeaderCaption="行标签">
  <location ref="E1:H6" firstHeaderRow="1" firstDataRow="2" firstDataCol="1"/>
  <pivotFields count="3">
    <pivotField axis="axisCol" showAll="0">
      <items count="3">
        <item n="固定间接费用" x="1"/>
        <item n="变动间接费用" x="0"/>
        <item t="default"/>
      </items>
    </pivotField>
    <pivotField axis="axisRow" showAll="0">
      <items count="4">
        <item n="效率差异" x="1"/>
        <item n="支出差异" x="0"/>
        <item n="数量差异" x="2"/>
        <item t="default"/>
      </items>
    </pivotField>
    <pivotField dataField="1" numFmtId="176" showAll="0"/>
  </pivotFields>
  <rowFields count="1">
    <field x="1"/>
  </rowFields>
  <rowItems count="4">
    <i>
      <x/>
    </i>
    <i>
      <x v="1"/>
    </i>
    <i>
      <x v="2"/>
    </i>
    <i t="grand">
      <x/>
    </i>
  </rowItems>
  <colFields count="1">
    <field x="0"/>
  </colFields>
  <colItems count="3">
    <i>
      <x/>
    </i>
    <i>
      <x v="1"/>
    </i>
    <i t="grand">
      <x/>
    </i>
  </colItems>
  <dataFields count="1">
    <dataField name="总和" fld="2" baseField="0" baseItem="0" numFmtId="176"/>
  </dataFields>
  <formats count="7">
    <format dxfId="13">
      <pivotArea outline="0" collapsedLevelsAreSubtotals="1" fieldPosition="0"/>
    </format>
    <format dxfId="12">
      <pivotArea type="all" dataOnly="0" outline="0" fieldPosition="0"/>
    </format>
    <format dxfId="11">
      <pivotArea outline="0" collapsedLevelsAreSubtotals="1" fieldPosition="0"/>
    </format>
    <format dxfId="10">
      <pivotArea dataOnly="0" labelOnly="1" fieldPosition="0">
        <references count="1">
          <reference field="1" count="0"/>
        </references>
      </pivotArea>
    </format>
    <format dxfId="9">
      <pivotArea dataOnly="0" labelOnly="1" grandRow="1" outline="0" fieldPosition="0"/>
    </format>
    <format dxfId="8">
      <pivotArea dataOnly="0" labelOnly="1" fieldPosition="0">
        <references count="1">
          <reference field="0" count="0"/>
        </references>
      </pivotArea>
    </format>
    <format dxfId="7">
      <pivotArea dataOnly="0" labelOnly="1" grandCol="1" outline="0" fieldPosition="0"/>
    </format>
  </formats>
  <chartFormats count="2">
    <chartFormat chart="3" format="0" series="1">
      <pivotArea type="data" outline="0" fieldPosition="0">
        <references count="2">
          <reference field="4294967294" count="1" selected="0">
            <x v="0"/>
          </reference>
          <reference field="0" count="1" selected="0">
            <x v="0"/>
          </reference>
        </references>
      </pivotArea>
    </chartFormat>
    <chartFormat chart="3" format="1" series="1">
      <pivotArea type="data" outline="0" fieldPosition="0">
        <references count="2">
          <reference field="4294967294" count="1" selected="0">
            <x v="0"/>
          </reference>
          <reference field="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PivotTable6" cacheId="2" applyNumberFormats="0" applyBorderFormats="0" applyFontFormats="0" applyPatternFormats="0" applyAlignmentFormats="0" applyWidthHeightFormats="1" dataCaption="Values" updatedVersion="7" minRefreshableVersion="3" useAutoFormatting="1" createdVersion="7" indent="0" outline="1" outlineData="1" multipleFieldFilters="0" chartFormat="4" rowHeaderCaption="行标签">
  <location ref="E1:H5" firstHeaderRow="1" firstDataRow="2" firstDataCol="1"/>
  <pivotFields count="3">
    <pivotField axis="axisCol" showAll="0">
      <items count="3">
        <item n="固定销售与管理费用" x="1"/>
        <item n="变动销售与管理费用" x="0"/>
        <item t="default"/>
      </items>
    </pivotField>
    <pivotField axis="axisRow" showAll="0">
      <items count="3">
        <item n="费率差异" x="0"/>
        <item n="支出差异" x="1"/>
        <item t="default"/>
      </items>
    </pivotField>
    <pivotField dataField="1" numFmtId="176" showAll="0"/>
  </pivotFields>
  <rowFields count="1">
    <field x="1"/>
  </rowFields>
  <rowItems count="3">
    <i>
      <x/>
    </i>
    <i>
      <x v="1"/>
    </i>
    <i t="grand">
      <x/>
    </i>
  </rowItems>
  <colFields count="1">
    <field x="0"/>
  </colFields>
  <colItems count="3">
    <i>
      <x/>
    </i>
    <i>
      <x v="1"/>
    </i>
    <i t="grand">
      <x/>
    </i>
  </colItems>
  <dataFields count="1">
    <dataField name="总和" fld="2" baseField="0" baseItem="0" numFmtId="176"/>
  </dataFields>
  <formats count="7">
    <format dxfId="6">
      <pivotArea outline="0" collapsedLevelsAreSubtotals="1" fieldPosition="0"/>
    </format>
    <format dxfId="5">
      <pivotArea type="all" dataOnly="0" outline="0" fieldPosition="0"/>
    </format>
    <format dxfId="4">
      <pivotArea outline="0" collapsedLevelsAreSubtotals="1" fieldPosition="0"/>
    </format>
    <format dxfId="3">
      <pivotArea dataOnly="0" labelOnly="1" fieldPosition="0">
        <references count="1">
          <reference field="1" count="0"/>
        </references>
      </pivotArea>
    </format>
    <format dxfId="2">
      <pivotArea dataOnly="0" labelOnly="1" grandRow="1" outline="0" fieldPosition="0"/>
    </format>
    <format dxfId="1">
      <pivotArea dataOnly="0" labelOnly="1" fieldPosition="0">
        <references count="1">
          <reference field="0" count="0"/>
        </references>
      </pivotArea>
    </format>
    <format dxfId="0">
      <pivotArea dataOnly="0" labelOnly="1" grandCol="1" outline="0" fieldPosition="0"/>
    </format>
  </formats>
  <chartFormats count="2">
    <chartFormat chart="3" format="0" series="1">
      <pivotArea type="data" outline="0" fieldPosition="0">
        <references count="2">
          <reference field="4294967294" count="1" selected="0">
            <x v="0"/>
          </reference>
          <reference field="0" count="1" selected="0">
            <x v="0"/>
          </reference>
        </references>
      </pivotArea>
    </chartFormat>
    <chartFormat chart="3" format="1" series="1">
      <pivotArea type="data" outline="0" fieldPosition="0">
        <references count="2">
          <reference field="4294967294" count="1" selected="0">
            <x v="0"/>
          </reference>
          <reference field="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538135"/>
      </a:accent1>
      <a:accent2>
        <a:srgbClr val="C55A11"/>
      </a:accent2>
      <a:accent3>
        <a:srgbClr val="000000"/>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0.bin"/><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11.bin"/><Relationship Id="rId1" Type="http://schemas.openxmlformats.org/officeDocument/2006/relationships/pivotTable" Target="../pivotTables/pivotTable3.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ivotTable" Target="../pivotTables/pivotTable4.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3.bin"/><Relationship Id="rId1" Type="http://schemas.openxmlformats.org/officeDocument/2006/relationships/pivotTable" Target="../pivotTables/pivotTable5.xml"/></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0"/>
  <sheetViews>
    <sheetView workbookViewId="0">
      <selection activeCell="D10" sqref="D10"/>
    </sheetView>
  </sheetViews>
  <sheetFormatPr defaultColWidth="9" defaultRowHeight="15.6" x14ac:dyDescent="0.35"/>
  <cols>
    <col min="1" max="15" width="9" style="2"/>
    <col min="16" max="16" width="23.109375" style="2" customWidth="1"/>
    <col min="17" max="17" width="13.88671875" style="2" customWidth="1"/>
    <col min="18" max="18" width="12.6640625" style="2" customWidth="1"/>
    <col min="19" max="19" width="40.44140625" style="2" customWidth="1"/>
    <col min="20" max="20" width="14" style="2" customWidth="1"/>
    <col min="21" max="21" width="12.88671875" style="2" customWidth="1"/>
    <col min="22" max="22" width="12.33203125" style="2" customWidth="1"/>
    <col min="23" max="16384" width="9" style="2"/>
  </cols>
  <sheetData>
    <row r="1" spans="1:22" ht="19.2" x14ac:dyDescent="0.4">
      <c r="A1" s="1" t="s">
        <v>201</v>
      </c>
    </row>
    <row r="2" spans="1:22" x14ac:dyDescent="0.35">
      <c r="S2" s="3"/>
      <c r="T2" s="4" t="s">
        <v>63</v>
      </c>
      <c r="U2" s="5"/>
      <c r="V2" s="6"/>
    </row>
    <row r="3" spans="1:22" ht="19.2" x14ac:dyDescent="0.4">
      <c r="A3" s="7" t="s">
        <v>202</v>
      </c>
      <c r="B3" s="7"/>
      <c r="C3" s="7"/>
      <c r="D3" s="7"/>
      <c r="S3" s="8" t="s">
        <v>64</v>
      </c>
      <c r="T3" s="9"/>
      <c r="U3" s="9"/>
      <c r="V3" s="10"/>
    </row>
    <row r="4" spans="1:22" ht="46.8" x14ac:dyDescent="0.35">
      <c r="S4" s="11"/>
      <c r="T4" s="12" t="s">
        <v>0</v>
      </c>
      <c r="U4" s="12" t="s">
        <v>1</v>
      </c>
      <c r="V4" s="13" t="s">
        <v>2</v>
      </c>
    </row>
    <row r="5" spans="1:22" x14ac:dyDescent="0.35">
      <c r="A5" s="2" t="s">
        <v>212</v>
      </c>
      <c r="S5" s="11" t="s">
        <v>65</v>
      </c>
      <c r="T5" s="14">
        <f>利润表!B5</f>
        <v>11297327.527999999</v>
      </c>
      <c r="U5" s="14">
        <f>利润表!D5</f>
        <v>11773080</v>
      </c>
      <c r="V5" s="15">
        <f>利润表!F5</f>
        <v>11780400</v>
      </c>
    </row>
    <row r="6" spans="1:22" x14ac:dyDescent="0.35">
      <c r="B6" s="2" t="s">
        <v>213</v>
      </c>
      <c r="S6" s="11" t="s">
        <v>66</v>
      </c>
      <c r="T6" s="14">
        <f>利润表!B23</f>
        <v>1829652.5712554194</v>
      </c>
      <c r="U6" s="14">
        <f>利润表!D23</f>
        <v>1919481.7336539179</v>
      </c>
      <c r="V6" s="15">
        <f>利润表!F23</f>
        <v>1752639.836082913</v>
      </c>
    </row>
    <row r="7" spans="1:22" x14ac:dyDescent="0.35">
      <c r="C7" s="2" t="s">
        <v>214</v>
      </c>
      <c r="S7" s="11" t="s">
        <v>67</v>
      </c>
      <c r="T7" s="14">
        <f>利润表!B10</f>
        <v>1571510.5486116253</v>
      </c>
      <c r="U7" s="14">
        <f>利润表!D10</f>
        <v>1649404.6789333324</v>
      </c>
      <c r="V7" s="15">
        <f>利润表!F10</f>
        <v>1478349.329233333</v>
      </c>
    </row>
    <row r="8" spans="1:22" x14ac:dyDescent="0.35">
      <c r="C8" s="2" t="s">
        <v>203</v>
      </c>
      <c r="S8" s="11" t="s">
        <v>68</v>
      </c>
      <c r="T8" s="14">
        <f>利润表!B26</f>
        <v>803582.63236037944</v>
      </c>
      <c r="U8" s="14">
        <f>利润表!D26</f>
        <v>873106.67925391789</v>
      </c>
      <c r="V8" s="15">
        <f>利润表!F26</f>
        <v>703912.89888291294</v>
      </c>
    </row>
    <row r="9" spans="1:22" x14ac:dyDescent="0.35">
      <c r="C9" s="2" t="s">
        <v>204</v>
      </c>
      <c r="S9" s="11" t="s">
        <v>3</v>
      </c>
      <c r="T9" s="14">
        <f>利润表!B13</f>
        <v>802910.54861162533</v>
      </c>
      <c r="U9" s="14">
        <f>利润表!D13</f>
        <v>880804.67893333244</v>
      </c>
      <c r="V9" s="15">
        <f>利润表!F13</f>
        <v>696572.53923333297</v>
      </c>
    </row>
    <row r="10" spans="1:22" x14ac:dyDescent="0.35">
      <c r="C10" s="2" t="s">
        <v>205</v>
      </c>
      <c r="S10" s="11"/>
      <c r="T10" s="14"/>
      <c r="U10" s="14"/>
      <c r="V10" s="15"/>
    </row>
    <row r="11" spans="1:22" x14ac:dyDescent="0.35">
      <c r="C11" s="2" t="s">
        <v>206</v>
      </c>
      <c r="S11" s="16" t="s">
        <v>215</v>
      </c>
      <c r="T11" s="9"/>
      <c r="U11" s="9"/>
      <c r="V11" s="10"/>
    </row>
    <row r="12" spans="1:22" x14ac:dyDescent="0.35">
      <c r="C12" s="2" t="s">
        <v>207</v>
      </c>
      <c r="F12" s="17" t="s">
        <v>60</v>
      </c>
      <c r="G12" s="2" t="s">
        <v>59</v>
      </c>
      <c r="I12" s="18"/>
      <c r="S12" s="19" t="s">
        <v>4</v>
      </c>
      <c r="T12" s="14">
        <f>试算!C22</f>
        <v>77894.130321707111</v>
      </c>
      <c r="U12" s="14"/>
      <c r="V12" s="15"/>
    </row>
    <row r="13" spans="1:22" x14ac:dyDescent="0.35">
      <c r="S13" s="19" t="s">
        <v>5</v>
      </c>
      <c r="T13" s="14">
        <f>差异计算!R44</f>
        <v>-34396.876000000055</v>
      </c>
      <c r="U13" s="14"/>
      <c r="V13" s="15"/>
    </row>
    <row r="14" spans="1:22" x14ac:dyDescent="0.35">
      <c r="B14" s="2" t="s">
        <v>200</v>
      </c>
      <c r="S14" s="19" t="s">
        <v>6</v>
      </c>
      <c r="T14" s="14">
        <f>差异计算!F53</f>
        <v>-50175.317566666701</v>
      </c>
      <c r="U14" s="14"/>
      <c r="V14" s="15"/>
    </row>
    <row r="15" spans="1:22" x14ac:dyDescent="0.35">
      <c r="C15" s="2" t="s">
        <v>216</v>
      </c>
      <c r="S15" s="19" t="s">
        <v>7</v>
      </c>
      <c r="T15" s="14">
        <f>差异计算!R69</f>
        <v>7930.0433333333422</v>
      </c>
      <c r="U15" s="14"/>
      <c r="V15" s="15"/>
    </row>
    <row r="16" spans="1:22" x14ac:dyDescent="0.35">
      <c r="C16" s="2" t="s">
        <v>220</v>
      </c>
      <c r="S16" s="19" t="s">
        <v>8</v>
      </c>
      <c r="T16" s="14">
        <f>差异计算!F82</f>
        <v>15038.359328992956</v>
      </c>
      <c r="U16" s="14"/>
      <c r="V16" s="15"/>
    </row>
    <row r="17" spans="1:22" x14ac:dyDescent="0.35">
      <c r="S17" s="19" t="s">
        <v>61</v>
      </c>
      <c r="T17" s="14">
        <f>差异计算!E111</f>
        <v>21992.107199999853</v>
      </c>
      <c r="U17" s="14"/>
      <c r="V17" s="15"/>
    </row>
    <row r="18" spans="1:22" x14ac:dyDescent="0.35">
      <c r="B18" s="2" t="s">
        <v>221</v>
      </c>
      <c r="S18" s="20" t="s">
        <v>9</v>
      </c>
      <c r="T18" s="21">
        <f>差异计算!E121</f>
        <v>-1002.7899999999936</v>
      </c>
      <c r="U18" s="21"/>
      <c r="V18" s="22"/>
    </row>
    <row r="19" spans="1:22" x14ac:dyDescent="0.35">
      <c r="C19" s="2" t="s">
        <v>217</v>
      </c>
    </row>
    <row r="20" spans="1:22" x14ac:dyDescent="0.35">
      <c r="C20" s="2" t="s">
        <v>208</v>
      </c>
    </row>
    <row r="21" spans="1:22" x14ac:dyDescent="0.35">
      <c r="C21" s="2" t="s">
        <v>62</v>
      </c>
    </row>
    <row r="22" spans="1:22" x14ac:dyDescent="0.35">
      <c r="C22" s="2" t="s">
        <v>222</v>
      </c>
      <c r="K22" s="2" t="s">
        <v>209</v>
      </c>
      <c r="P22" s="23" t="s">
        <v>10</v>
      </c>
    </row>
    <row r="24" spans="1:22" x14ac:dyDescent="0.35">
      <c r="A24" s="2" t="s">
        <v>223</v>
      </c>
    </row>
    <row r="25" spans="1:22" x14ac:dyDescent="0.35">
      <c r="B25" s="2" t="s">
        <v>224</v>
      </c>
    </row>
    <row r="26" spans="1:22" x14ac:dyDescent="0.35">
      <c r="C26" s="2" t="s">
        <v>210</v>
      </c>
    </row>
    <row r="28" spans="1:22" x14ac:dyDescent="0.35">
      <c r="A28" s="2" t="s">
        <v>211</v>
      </c>
    </row>
    <row r="29" spans="1:22" x14ac:dyDescent="0.35">
      <c r="B29" s="2" t="s">
        <v>218</v>
      </c>
    </row>
    <row r="30" spans="1:22" x14ac:dyDescent="0.35">
      <c r="C30" s="2" t="s">
        <v>219</v>
      </c>
    </row>
  </sheetData>
  <phoneticPr fontId="2" type="noConversion"/>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0"/>
  <sheetViews>
    <sheetView zoomScale="55" zoomScaleNormal="55" workbookViewId="0">
      <selection activeCell="L29" sqref="F29:L30"/>
    </sheetView>
  </sheetViews>
  <sheetFormatPr defaultColWidth="9" defaultRowHeight="15.6" x14ac:dyDescent="0.35"/>
  <cols>
    <col min="1" max="2" width="18.77734375" style="79" customWidth="1"/>
    <col min="3" max="3" width="23.33203125" style="79" customWidth="1"/>
    <col min="4" max="4" width="18.77734375" style="79" customWidth="1"/>
    <col min="5" max="5" width="9" style="79"/>
    <col min="6" max="6" width="16.6640625" style="79" customWidth="1"/>
    <col min="7" max="7" width="15.6640625" style="79" customWidth="1"/>
    <col min="8" max="8" width="14.21875" style="79" customWidth="1"/>
    <col min="9" max="9" width="10.33203125" style="79" customWidth="1"/>
    <col min="10" max="10" width="7.109375" style="79" customWidth="1"/>
    <col min="11" max="11" width="10.77734375" style="79" customWidth="1"/>
    <col min="12" max="16384" width="9" style="79"/>
  </cols>
  <sheetData>
    <row r="1" spans="1:11" x14ac:dyDescent="0.35">
      <c r="A1" s="361" t="s">
        <v>502</v>
      </c>
      <c r="B1" s="362"/>
      <c r="C1" s="362"/>
      <c r="D1" s="363"/>
      <c r="F1" s="293" t="s">
        <v>39</v>
      </c>
      <c r="G1" s="79" t="s">
        <v>40</v>
      </c>
    </row>
    <row r="2" spans="1:11" x14ac:dyDescent="0.35">
      <c r="A2" s="302" t="s">
        <v>186</v>
      </c>
      <c r="B2" s="294" t="s">
        <v>511</v>
      </c>
      <c r="C2" s="294" t="s">
        <v>512</v>
      </c>
      <c r="D2" s="295" t="s">
        <v>503</v>
      </c>
    </row>
    <row r="3" spans="1:11" x14ac:dyDescent="0.35">
      <c r="A3" s="303" t="s">
        <v>504</v>
      </c>
      <c r="B3" s="79" t="s">
        <v>513</v>
      </c>
      <c r="C3" s="79" t="s">
        <v>47</v>
      </c>
      <c r="D3" s="296">
        <f>差异数据!G11</f>
        <v>-47281.999999999833</v>
      </c>
      <c r="F3" s="79" t="s">
        <v>192</v>
      </c>
      <c r="G3" s="79" t="s">
        <v>41</v>
      </c>
    </row>
    <row r="4" spans="1:11" x14ac:dyDescent="0.35">
      <c r="A4" s="303" t="s">
        <v>504</v>
      </c>
      <c r="B4" s="79" t="s">
        <v>508</v>
      </c>
      <c r="C4" s="79" t="s">
        <v>47</v>
      </c>
      <c r="D4" s="296">
        <f>差异数据!G12</f>
        <v>5708.6400000000049</v>
      </c>
      <c r="F4" s="79" t="s">
        <v>188</v>
      </c>
      <c r="G4" s="79" t="s">
        <v>42</v>
      </c>
      <c r="H4" s="79" t="s">
        <v>43</v>
      </c>
      <c r="I4" s="79" t="s">
        <v>44</v>
      </c>
      <c r="J4" s="79" t="s">
        <v>45</v>
      </c>
      <c r="K4" s="79" t="s">
        <v>189</v>
      </c>
    </row>
    <row r="5" spans="1:11" x14ac:dyDescent="0.35">
      <c r="A5" s="303" t="s">
        <v>514</v>
      </c>
      <c r="B5" s="79" t="s">
        <v>515</v>
      </c>
      <c r="C5" s="79" t="s">
        <v>47</v>
      </c>
      <c r="D5" s="296">
        <f>差异数据!G13</f>
        <v>12511.999999999995</v>
      </c>
      <c r="F5" s="94" t="s">
        <v>46</v>
      </c>
      <c r="G5" s="119">
        <v>-14070</v>
      </c>
      <c r="H5" s="119">
        <v>-21680.799999999999</v>
      </c>
      <c r="I5" s="119">
        <v>1353.924</v>
      </c>
      <c r="J5" s="119">
        <v>0</v>
      </c>
      <c r="K5" s="119">
        <v>-34396.875999999997</v>
      </c>
    </row>
    <row r="6" spans="1:11" x14ac:dyDescent="0.35">
      <c r="A6" s="303" t="s">
        <v>514</v>
      </c>
      <c r="B6" s="79" t="s">
        <v>497</v>
      </c>
      <c r="C6" s="79" t="s">
        <v>47</v>
      </c>
      <c r="D6" s="296">
        <f>差异数据!G14</f>
        <v>2648.7499999999905</v>
      </c>
      <c r="F6" s="94" t="s">
        <v>47</v>
      </c>
      <c r="G6" s="119">
        <v>-47281.999999999804</v>
      </c>
      <c r="H6" s="119">
        <v>2648.74999999999</v>
      </c>
      <c r="I6" s="119">
        <v>12512</v>
      </c>
      <c r="J6" s="119">
        <v>5708.64</v>
      </c>
      <c r="K6" s="119">
        <v>-26412.6099999998</v>
      </c>
    </row>
    <row r="7" spans="1:11" x14ac:dyDescent="0.35">
      <c r="A7" s="303" t="s">
        <v>12</v>
      </c>
      <c r="B7" s="79" t="s">
        <v>507</v>
      </c>
      <c r="C7" s="79" t="s">
        <v>46</v>
      </c>
      <c r="D7" s="296">
        <f>差异数据!G15</f>
        <v>-9720</v>
      </c>
      <c r="F7" s="94" t="s">
        <v>189</v>
      </c>
      <c r="G7" s="119">
        <v>-61351.999999999804</v>
      </c>
      <c r="H7" s="119">
        <v>-19032.050000000101</v>
      </c>
      <c r="I7" s="119">
        <v>13865.924000000001</v>
      </c>
      <c r="J7" s="119">
        <v>5708.64</v>
      </c>
      <c r="K7" s="119">
        <v>-60809.485999999903</v>
      </c>
    </row>
    <row r="8" spans="1:11" x14ac:dyDescent="0.35">
      <c r="A8" s="303" t="s">
        <v>13</v>
      </c>
      <c r="B8" s="79" t="s">
        <v>505</v>
      </c>
      <c r="C8" s="79" t="s">
        <v>46</v>
      </c>
      <c r="D8" s="296">
        <f>差异数据!G16</f>
        <v>-20610.59999999986</v>
      </c>
    </row>
    <row r="9" spans="1:11" x14ac:dyDescent="0.35">
      <c r="A9" s="303" t="s">
        <v>14</v>
      </c>
      <c r="B9" s="79" t="s">
        <v>507</v>
      </c>
      <c r="C9" s="79" t="s">
        <v>46</v>
      </c>
      <c r="D9" s="296">
        <f>差异数据!G17</f>
        <v>16260.59999999986</v>
      </c>
    </row>
    <row r="10" spans="1:11" x14ac:dyDescent="0.35">
      <c r="A10" s="303" t="s">
        <v>12</v>
      </c>
      <c r="B10" s="79" t="s">
        <v>508</v>
      </c>
      <c r="C10" s="79" t="s">
        <v>46</v>
      </c>
      <c r="D10" s="296">
        <f>差异数据!G18</f>
        <v>0</v>
      </c>
    </row>
    <row r="11" spans="1:11" x14ac:dyDescent="0.35">
      <c r="A11" s="303" t="s">
        <v>13</v>
      </c>
      <c r="B11" s="79" t="s">
        <v>498</v>
      </c>
      <c r="C11" s="79" t="s">
        <v>46</v>
      </c>
      <c r="D11" s="296">
        <f>差异数据!G19</f>
        <v>0</v>
      </c>
    </row>
    <row r="12" spans="1:11" x14ac:dyDescent="0.35">
      <c r="A12" s="303" t="s">
        <v>14</v>
      </c>
      <c r="B12" s="79" t="s">
        <v>498</v>
      </c>
      <c r="C12" s="79" t="s">
        <v>46</v>
      </c>
      <c r="D12" s="296">
        <f>差异数据!G20</f>
        <v>0</v>
      </c>
    </row>
    <row r="13" spans="1:11" x14ac:dyDescent="0.35">
      <c r="A13" s="303" t="s">
        <v>12</v>
      </c>
      <c r="B13" s="79" t="s">
        <v>509</v>
      </c>
      <c r="C13" s="79" t="s">
        <v>46</v>
      </c>
      <c r="D13" s="296">
        <f>差异数据!G21</f>
        <v>486</v>
      </c>
    </row>
    <row r="14" spans="1:11" x14ac:dyDescent="0.35">
      <c r="A14" s="303" t="s">
        <v>13</v>
      </c>
      <c r="B14" s="79" t="s">
        <v>499</v>
      </c>
      <c r="C14" s="79" t="s">
        <v>46</v>
      </c>
      <c r="D14" s="296">
        <f>差异数据!G22</f>
        <v>1030.53</v>
      </c>
    </row>
    <row r="15" spans="1:11" x14ac:dyDescent="0.35">
      <c r="A15" s="303" t="s">
        <v>14</v>
      </c>
      <c r="B15" s="79" t="s">
        <v>499</v>
      </c>
      <c r="C15" s="79" t="s">
        <v>46</v>
      </c>
      <c r="D15" s="296">
        <f>差异数据!G23</f>
        <v>-162.60600000000034</v>
      </c>
    </row>
    <row r="16" spans="1:11" x14ac:dyDescent="0.35">
      <c r="A16" s="303" t="s">
        <v>12</v>
      </c>
      <c r="B16" s="79" t="s">
        <v>500</v>
      </c>
      <c r="C16" s="79" t="s">
        <v>46</v>
      </c>
      <c r="D16" s="296">
        <f>差异数据!G24</f>
        <v>0</v>
      </c>
    </row>
    <row r="17" spans="1:15" x14ac:dyDescent="0.35">
      <c r="A17" s="303" t="s">
        <v>13</v>
      </c>
      <c r="B17" s="79" t="s">
        <v>500</v>
      </c>
      <c r="C17" s="79" t="s">
        <v>46</v>
      </c>
      <c r="D17" s="296">
        <f>差异数据!G25</f>
        <v>0</v>
      </c>
      <c r="O17" s="301"/>
    </row>
    <row r="18" spans="1:15" x14ac:dyDescent="0.35">
      <c r="A18" s="304" t="s">
        <v>14</v>
      </c>
      <c r="B18" s="199" t="s">
        <v>506</v>
      </c>
      <c r="C18" s="199" t="s">
        <v>46</v>
      </c>
      <c r="D18" s="300">
        <f>差异数据!G26</f>
        <v>-21680.800000000047</v>
      </c>
      <c r="O18" s="301"/>
    </row>
    <row r="19" spans="1:15" x14ac:dyDescent="0.35">
      <c r="O19" s="301"/>
    </row>
    <row r="20" spans="1:15" ht="13.5" customHeight="1" x14ac:dyDescent="0.35">
      <c r="A20" s="364" t="s">
        <v>501</v>
      </c>
      <c r="B20" s="364"/>
      <c r="C20" s="364"/>
      <c r="D20" s="364"/>
      <c r="O20" s="301"/>
    </row>
    <row r="21" spans="1:15" x14ac:dyDescent="0.35">
      <c r="A21" s="364"/>
      <c r="B21" s="364"/>
      <c r="C21" s="364"/>
      <c r="D21" s="364"/>
      <c r="O21" s="301"/>
    </row>
    <row r="22" spans="1:15" x14ac:dyDescent="0.35">
      <c r="A22" s="364"/>
      <c r="B22" s="364"/>
      <c r="C22" s="364"/>
      <c r="D22" s="364"/>
      <c r="O22" s="301"/>
    </row>
    <row r="23" spans="1:15" x14ac:dyDescent="0.35">
      <c r="O23" s="301"/>
    </row>
    <row r="27" spans="1:15" x14ac:dyDescent="0.35">
      <c r="B27" s="305"/>
    </row>
    <row r="28" spans="1:15" x14ac:dyDescent="0.35">
      <c r="B28" s="305"/>
    </row>
    <row r="29" spans="1:15" x14ac:dyDescent="0.35">
      <c r="B29" s="305"/>
      <c r="F29" s="301"/>
      <c r="G29" s="301"/>
      <c r="H29" s="301"/>
      <c r="I29" s="301"/>
      <c r="J29" s="301"/>
      <c r="K29" s="301"/>
    </row>
    <row r="30" spans="1:15" x14ac:dyDescent="0.35">
      <c r="B30" s="305"/>
      <c r="F30" s="301"/>
      <c r="G30" s="301"/>
      <c r="H30" s="301"/>
      <c r="I30" s="301"/>
      <c r="J30" s="301"/>
      <c r="K30" s="301"/>
    </row>
  </sheetData>
  <mergeCells count="2">
    <mergeCell ref="A1:D1"/>
    <mergeCell ref="A20:D22"/>
  </mergeCells>
  <phoneticPr fontId="2" type="noConversion"/>
  <pageMargins left="0.7" right="0.7" top="0.75" bottom="0.75" header="0.3" footer="0.3"/>
  <customProperties>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0"/>
  <sheetViews>
    <sheetView topLeftCell="A7" zoomScale="70" zoomScaleNormal="70" workbookViewId="0">
      <selection activeCell="K34" sqref="K34"/>
    </sheetView>
  </sheetViews>
  <sheetFormatPr defaultColWidth="9" defaultRowHeight="15.6" x14ac:dyDescent="0.35"/>
  <cols>
    <col min="1" max="4" width="18.77734375" style="79" customWidth="1"/>
    <col min="5" max="5" width="9" style="79"/>
    <col min="6" max="6" width="16.6640625" style="79" customWidth="1"/>
    <col min="7" max="7" width="15.6640625" style="79" customWidth="1"/>
    <col min="8" max="8" width="7.6640625" style="79" customWidth="1"/>
    <col min="9" max="9" width="11.6640625" style="79" customWidth="1"/>
    <col min="10" max="11" width="10.77734375" style="79" customWidth="1"/>
    <col min="12" max="16384" width="9" style="79"/>
  </cols>
  <sheetData>
    <row r="1" spans="1:15" x14ac:dyDescent="0.35">
      <c r="A1" s="361" t="s">
        <v>522</v>
      </c>
      <c r="B1" s="362"/>
      <c r="C1" s="362"/>
      <c r="D1" s="363"/>
      <c r="F1" s="293" t="s">
        <v>39</v>
      </c>
      <c r="G1" s="79" t="s">
        <v>40</v>
      </c>
    </row>
    <row r="2" spans="1:15" x14ac:dyDescent="0.35">
      <c r="A2" s="302" t="s">
        <v>186</v>
      </c>
      <c r="B2" s="294" t="s">
        <v>193</v>
      </c>
      <c r="C2" s="294" t="s">
        <v>530</v>
      </c>
      <c r="D2" s="295" t="s">
        <v>524</v>
      </c>
    </row>
    <row r="3" spans="1:15" x14ac:dyDescent="0.35">
      <c r="A3" s="303" t="s">
        <v>526</v>
      </c>
      <c r="B3" s="306" t="s">
        <v>72</v>
      </c>
      <c r="C3" s="79" t="s">
        <v>517</v>
      </c>
      <c r="D3" s="307">
        <f>差异数据!G27</f>
        <v>-5593.0016666667461</v>
      </c>
      <c r="F3" s="79" t="s">
        <v>192</v>
      </c>
      <c r="G3" s="79" t="s">
        <v>41</v>
      </c>
    </row>
    <row r="4" spans="1:15" x14ac:dyDescent="0.35">
      <c r="A4" s="303" t="s">
        <v>122</v>
      </c>
      <c r="B4" s="306" t="s">
        <v>73</v>
      </c>
      <c r="C4" s="79" t="s">
        <v>531</v>
      </c>
      <c r="D4" s="296">
        <f>差异数据!G28</f>
        <v>-13523.936999999978</v>
      </c>
      <c r="F4" s="79" t="s">
        <v>188</v>
      </c>
      <c r="G4" s="79" t="s">
        <v>48</v>
      </c>
      <c r="H4" s="79" t="s">
        <v>49</v>
      </c>
      <c r="I4" s="79" t="s">
        <v>50</v>
      </c>
      <c r="J4" s="79" t="s">
        <v>51</v>
      </c>
      <c r="K4" s="79" t="s">
        <v>189</v>
      </c>
    </row>
    <row r="5" spans="1:15" x14ac:dyDescent="0.35">
      <c r="A5" s="303" t="s">
        <v>526</v>
      </c>
      <c r="B5" s="306" t="s">
        <v>74</v>
      </c>
      <c r="C5" s="79" t="s">
        <v>194</v>
      </c>
      <c r="D5" s="296">
        <f>差异数据!G29</f>
        <v>-23374.61249999997</v>
      </c>
      <c r="F5" s="94" t="s">
        <v>46</v>
      </c>
      <c r="G5" s="119">
        <v>8572.5999999999894</v>
      </c>
      <c r="H5" s="119">
        <v>2835.3</v>
      </c>
      <c r="I5" s="119">
        <v>-82206.366666666698</v>
      </c>
      <c r="J5" s="119">
        <v>-8968.5199999999804</v>
      </c>
      <c r="K5" s="119">
        <v>-79766.986666666606</v>
      </c>
    </row>
    <row r="6" spans="1:15" x14ac:dyDescent="0.35">
      <c r="A6" s="303" t="s">
        <v>526</v>
      </c>
      <c r="B6" s="306" t="s">
        <v>75</v>
      </c>
      <c r="C6" s="79" t="s">
        <v>527</v>
      </c>
      <c r="D6" s="296">
        <f>差异数据!G30</f>
        <v>-7683.7664000000077</v>
      </c>
      <c r="F6" s="94" t="s">
        <v>52</v>
      </c>
      <c r="G6" s="119">
        <v>-7683.7664000000104</v>
      </c>
      <c r="H6" s="119">
        <v>-5593.0016666667498</v>
      </c>
      <c r="I6" s="119">
        <v>-23374.612499999999</v>
      </c>
      <c r="J6" s="119">
        <v>-13523.937</v>
      </c>
      <c r="K6" s="119">
        <v>-50175.317566666701</v>
      </c>
    </row>
    <row r="7" spans="1:15" x14ac:dyDescent="0.35">
      <c r="A7" s="303" t="s">
        <v>12</v>
      </c>
      <c r="B7" s="306" t="s">
        <v>72</v>
      </c>
      <c r="C7" s="79" t="s">
        <v>519</v>
      </c>
      <c r="D7" s="296">
        <f>差异数据!G31</f>
        <v>-4860</v>
      </c>
      <c r="F7" s="94" t="s">
        <v>189</v>
      </c>
      <c r="G7" s="119">
        <v>888.83359999998504</v>
      </c>
      <c r="H7" s="119">
        <v>-2757.70166666675</v>
      </c>
      <c r="I7" s="119">
        <v>-105580.97916666701</v>
      </c>
      <c r="J7" s="119">
        <v>-22492.456999999999</v>
      </c>
      <c r="K7" s="119">
        <v>-129942.30423333299</v>
      </c>
    </row>
    <row r="8" spans="1:15" x14ac:dyDescent="0.35">
      <c r="A8" s="303" t="s">
        <v>13</v>
      </c>
      <c r="B8" s="306" t="s">
        <v>523</v>
      </c>
      <c r="C8" s="79" t="s">
        <v>195</v>
      </c>
      <c r="D8" s="296">
        <f>差异数据!G32</f>
        <v>-2061.0599999999795</v>
      </c>
    </row>
    <row r="9" spans="1:15" x14ac:dyDescent="0.35">
      <c r="A9" s="303" t="s">
        <v>14</v>
      </c>
      <c r="B9" s="306" t="s">
        <v>72</v>
      </c>
      <c r="C9" s="79" t="s">
        <v>195</v>
      </c>
      <c r="D9" s="296">
        <f>差异数据!G33</f>
        <v>9756.3599999999751</v>
      </c>
    </row>
    <row r="10" spans="1:15" x14ac:dyDescent="0.35">
      <c r="A10" s="303" t="s">
        <v>12</v>
      </c>
      <c r="B10" s="306" t="s">
        <v>516</v>
      </c>
      <c r="C10" s="79" t="s">
        <v>195</v>
      </c>
      <c r="D10" s="296">
        <f>差异数据!G34</f>
        <v>-11880</v>
      </c>
    </row>
    <row r="11" spans="1:15" x14ac:dyDescent="0.35">
      <c r="A11" s="303" t="s">
        <v>13</v>
      </c>
      <c r="B11" s="306" t="s">
        <v>532</v>
      </c>
      <c r="C11" s="79" t="s">
        <v>195</v>
      </c>
      <c r="D11" s="296">
        <f>差异数据!G35</f>
        <v>-5038.1466666666565</v>
      </c>
    </row>
    <row r="12" spans="1:15" x14ac:dyDescent="0.35">
      <c r="A12" s="303" t="s">
        <v>14</v>
      </c>
      <c r="B12" s="306" t="s">
        <v>73</v>
      </c>
      <c r="C12" s="79" t="s">
        <v>195</v>
      </c>
      <c r="D12" s="296">
        <f>差异数据!G36</f>
        <v>7949.6266666666797</v>
      </c>
    </row>
    <row r="13" spans="1:15" x14ac:dyDescent="0.35">
      <c r="A13" s="303" t="s">
        <v>12</v>
      </c>
      <c r="B13" s="306" t="s">
        <v>525</v>
      </c>
      <c r="C13" s="79" t="s">
        <v>195</v>
      </c>
      <c r="D13" s="296">
        <f>差异数据!G37</f>
        <v>0</v>
      </c>
    </row>
    <row r="14" spans="1:15" x14ac:dyDescent="0.35">
      <c r="A14" s="303" t="s">
        <v>13</v>
      </c>
      <c r="B14" s="306" t="s">
        <v>74</v>
      </c>
      <c r="C14" s="79" t="s">
        <v>195</v>
      </c>
      <c r="D14" s="296">
        <f>差异数据!G38</f>
        <v>0</v>
      </c>
    </row>
    <row r="15" spans="1:15" x14ac:dyDescent="0.35">
      <c r="A15" s="303" t="s">
        <v>14</v>
      </c>
      <c r="B15" s="306" t="s">
        <v>525</v>
      </c>
      <c r="C15" s="79" t="s">
        <v>195</v>
      </c>
      <c r="D15" s="296">
        <f>差异数据!G39</f>
        <v>-82206.366666666654</v>
      </c>
    </row>
    <row r="16" spans="1:15" x14ac:dyDescent="0.35">
      <c r="A16" s="303" t="s">
        <v>12</v>
      </c>
      <c r="B16" s="306" t="s">
        <v>75</v>
      </c>
      <c r="C16" s="79" t="s">
        <v>195</v>
      </c>
      <c r="D16" s="296">
        <f>差异数据!G40</f>
        <v>4050</v>
      </c>
      <c r="O16" s="301"/>
    </row>
    <row r="17" spans="1:15" x14ac:dyDescent="0.35">
      <c r="A17" s="303" t="s">
        <v>13</v>
      </c>
      <c r="B17" s="306" t="s">
        <v>533</v>
      </c>
      <c r="C17" s="79" t="s">
        <v>519</v>
      </c>
      <c r="D17" s="296">
        <f>差异数据!G41</f>
        <v>8587.7499999999964</v>
      </c>
      <c r="O17" s="301"/>
    </row>
    <row r="18" spans="1:15" x14ac:dyDescent="0.35">
      <c r="A18" s="304" t="s">
        <v>14</v>
      </c>
      <c r="B18" s="316" t="s">
        <v>533</v>
      </c>
      <c r="C18" s="199" t="s">
        <v>528</v>
      </c>
      <c r="D18" s="300">
        <f>差异数据!G42</f>
        <v>-4065.1500000000033</v>
      </c>
      <c r="O18" s="301"/>
    </row>
    <row r="19" spans="1:15" x14ac:dyDescent="0.35">
      <c r="O19" s="301"/>
    </row>
    <row r="20" spans="1:15" x14ac:dyDescent="0.35">
      <c r="A20" s="364" t="s">
        <v>529</v>
      </c>
      <c r="B20" s="364"/>
      <c r="C20" s="364"/>
      <c r="D20" s="364"/>
      <c r="O20" s="301"/>
    </row>
    <row r="21" spans="1:15" x14ac:dyDescent="0.35">
      <c r="A21" s="364"/>
      <c r="B21" s="364"/>
      <c r="C21" s="364"/>
      <c r="D21" s="364"/>
    </row>
    <row r="22" spans="1:15" x14ac:dyDescent="0.35">
      <c r="A22" s="364"/>
      <c r="B22" s="364"/>
      <c r="C22" s="364"/>
      <c r="D22" s="364"/>
    </row>
    <row r="29" spans="1:15" x14ac:dyDescent="0.35">
      <c r="F29" s="301"/>
      <c r="G29" s="301"/>
      <c r="H29" s="301"/>
      <c r="I29" s="301"/>
      <c r="J29" s="301"/>
      <c r="K29" s="301"/>
    </row>
    <row r="30" spans="1:15" x14ac:dyDescent="0.35">
      <c r="F30" s="301"/>
      <c r="G30" s="301"/>
      <c r="H30" s="301"/>
      <c r="I30" s="301"/>
      <c r="J30" s="301"/>
      <c r="K30" s="301"/>
    </row>
  </sheetData>
  <mergeCells count="2">
    <mergeCell ref="A1:D1"/>
    <mergeCell ref="A20:D22"/>
  </mergeCells>
  <phoneticPr fontId="2" type="noConversion"/>
  <pageMargins left="0.7" right="0.7" top="0.75" bottom="0.75" header="0.3" footer="0.3"/>
  <customProperties>
    <customPr name="EpmWorksheetKeyString_GU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9"/>
  <sheetViews>
    <sheetView zoomScale="85" zoomScaleNormal="85" workbookViewId="0">
      <selection activeCell="O16" sqref="O16:O21"/>
    </sheetView>
  </sheetViews>
  <sheetFormatPr defaultColWidth="9" defaultRowHeight="15.6" x14ac:dyDescent="0.35"/>
  <cols>
    <col min="1" max="1" width="18.77734375" style="79" customWidth="1"/>
    <col min="2" max="2" width="30" style="79" customWidth="1"/>
    <col min="3" max="3" width="18.77734375" style="79" customWidth="1"/>
    <col min="4" max="4" width="9" style="79"/>
    <col min="5" max="5" width="16.6640625" style="79" customWidth="1"/>
    <col min="6" max="6" width="15.6640625" style="79" customWidth="1"/>
    <col min="7" max="7" width="8.77734375" style="79" customWidth="1"/>
    <col min="8" max="8" width="10.77734375" style="79" customWidth="1"/>
    <col min="9" max="16384" width="9" style="79"/>
  </cols>
  <sheetData>
    <row r="1" spans="1:16" x14ac:dyDescent="0.35">
      <c r="A1" s="361" t="s">
        <v>535</v>
      </c>
      <c r="B1" s="362"/>
      <c r="C1" s="363"/>
      <c r="E1" s="79" t="s">
        <v>192</v>
      </c>
      <c r="F1" s="79" t="s">
        <v>41</v>
      </c>
    </row>
    <row r="2" spans="1:16" x14ac:dyDescent="0.35">
      <c r="A2" s="302" t="s">
        <v>536</v>
      </c>
      <c r="B2" s="294" t="s">
        <v>537</v>
      </c>
      <c r="C2" s="295" t="s">
        <v>197</v>
      </c>
      <c r="E2" s="79" t="s">
        <v>188</v>
      </c>
      <c r="F2" s="79" t="s">
        <v>53</v>
      </c>
      <c r="G2" s="79" t="s">
        <v>54</v>
      </c>
      <c r="H2" s="79" t="s">
        <v>189</v>
      </c>
    </row>
    <row r="3" spans="1:16" x14ac:dyDescent="0.35">
      <c r="A3" s="303" t="s">
        <v>540</v>
      </c>
      <c r="B3" s="79" t="s">
        <v>538</v>
      </c>
      <c r="C3" s="307">
        <f>差异数据!G43</f>
        <v>-17545.709999999963</v>
      </c>
      <c r="D3" s="79" t="s">
        <v>594</v>
      </c>
      <c r="E3" s="94" t="s">
        <v>46</v>
      </c>
      <c r="F3" s="119"/>
      <c r="G3" s="119">
        <v>7930.0433333333403</v>
      </c>
      <c r="H3" s="119">
        <v>7930.0433333333403</v>
      </c>
    </row>
    <row r="4" spans="1:16" x14ac:dyDescent="0.35">
      <c r="A4" s="303" t="s">
        <v>76</v>
      </c>
      <c r="B4" s="79" t="s">
        <v>519</v>
      </c>
      <c r="C4" s="296">
        <f>差异数据!G44</f>
        <v>7930.0433333333422</v>
      </c>
      <c r="D4" s="79" t="s">
        <v>55</v>
      </c>
      <c r="E4" s="94" t="s">
        <v>55</v>
      </c>
      <c r="F4" s="119">
        <v>-12174</v>
      </c>
      <c r="G4" s="119">
        <v>-17545.71</v>
      </c>
      <c r="H4" s="119">
        <v>-29719.71</v>
      </c>
    </row>
    <row r="5" spans="1:16" x14ac:dyDescent="0.35">
      <c r="A5" s="303" t="s">
        <v>541</v>
      </c>
      <c r="B5" s="79" t="s">
        <v>542</v>
      </c>
      <c r="C5" s="296">
        <f>差异数据!G45</f>
        <v>6668.2759008246212</v>
      </c>
      <c r="D5" s="79" t="s">
        <v>56</v>
      </c>
      <c r="E5" s="94" t="s">
        <v>56</v>
      </c>
      <c r="F5" s="119">
        <v>6668.2759008246203</v>
      </c>
      <c r="G5" s="119"/>
      <c r="H5" s="119">
        <v>6668.2759008246203</v>
      </c>
    </row>
    <row r="6" spans="1:16" x14ac:dyDescent="0.35">
      <c r="A6" s="304" t="s">
        <v>543</v>
      </c>
      <c r="B6" s="199" t="s">
        <v>539</v>
      </c>
      <c r="C6" s="300">
        <f>差异数据!G46</f>
        <v>-12174</v>
      </c>
      <c r="E6" s="94" t="s">
        <v>189</v>
      </c>
      <c r="F6" s="119">
        <v>-5505.7240991753797</v>
      </c>
      <c r="G6" s="119">
        <v>-9615.6666666666206</v>
      </c>
      <c r="H6" s="119">
        <v>-15121.390765841999</v>
      </c>
    </row>
    <row r="8" spans="1:16" ht="15" customHeight="1" x14ac:dyDescent="0.35">
      <c r="A8" s="364" t="s">
        <v>544</v>
      </c>
      <c r="B8" s="364"/>
      <c r="C8" s="364"/>
      <c r="D8" s="308"/>
    </row>
    <row r="9" spans="1:16" x14ac:dyDescent="0.35">
      <c r="A9" s="364"/>
      <c r="B9" s="364"/>
      <c r="C9" s="364"/>
      <c r="D9" s="308"/>
    </row>
    <row r="10" spans="1:16" x14ac:dyDescent="0.35">
      <c r="A10" s="364"/>
      <c r="B10" s="364"/>
      <c r="C10" s="364"/>
      <c r="D10" s="308"/>
    </row>
    <row r="11" spans="1:16" x14ac:dyDescent="0.35">
      <c r="A11" s="364"/>
      <c r="B11" s="364"/>
      <c r="C11" s="364"/>
    </row>
    <row r="12" spans="1:16" x14ac:dyDescent="0.35">
      <c r="A12" s="364"/>
      <c r="B12" s="364"/>
      <c r="C12" s="364"/>
    </row>
    <row r="16" spans="1:16" x14ac:dyDescent="0.35">
      <c r="O16" s="301"/>
      <c r="P16" s="301"/>
    </row>
    <row r="17" spans="5:16" x14ac:dyDescent="0.35">
      <c r="O17" s="301"/>
      <c r="P17" s="301"/>
    </row>
    <row r="18" spans="5:16" x14ac:dyDescent="0.35">
      <c r="O18" s="301"/>
      <c r="P18" s="301"/>
    </row>
    <row r="19" spans="5:16" x14ac:dyDescent="0.35">
      <c r="O19" s="301"/>
      <c r="P19" s="301"/>
    </row>
    <row r="20" spans="5:16" x14ac:dyDescent="0.35">
      <c r="O20" s="301"/>
      <c r="P20" s="301"/>
    </row>
    <row r="28" spans="5:16" x14ac:dyDescent="0.35">
      <c r="E28" s="301"/>
      <c r="F28" s="301"/>
      <c r="G28" s="301"/>
      <c r="H28" s="301"/>
      <c r="I28" s="301"/>
      <c r="J28" s="301"/>
      <c r="K28" s="301"/>
    </row>
    <row r="29" spans="5:16" x14ac:dyDescent="0.35">
      <c r="E29" s="301"/>
      <c r="F29" s="301"/>
      <c r="G29" s="301"/>
      <c r="H29" s="301"/>
      <c r="I29" s="301"/>
      <c r="J29" s="301"/>
      <c r="K29" s="301"/>
    </row>
  </sheetData>
  <mergeCells count="2">
    <mergeCell ref="A1:C1"/>
    <mergeCell ref="A8:C12"/>
  </mergeCells>
  <phoneticPr fontId="2" type="noConversion"/>
  <pageMargins left="0.7" right="0.7" top="0.75" bottom="0.75" header="0.3" footer="0.3"/>
  <customProperties>
    <customPr name="EpmWorksheetKeyString_GU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28"/>
  <sheetViews>
    <sheetView workbookViewId="0">
      <selection activeCell="I2" sqref="I2"/>
    </sheetView>
  </sheetViews>
  <sheetFormatPr defaultColWidth="9" defaultRowHeight="15.6" x14ac:dyDescent="0.35"/>
  <cols>
    <col min="1" max="3" width="18.77734375" style="79" customWidth="1"/>
    <col min="4" max="4" width="9" style="79"/>
    <col min="5" max="5" width="15.88671875" style="79" customWidth="1"/>
    <col min="6" max="6" width="15.6640625" style="79" customWidth="1"/>
    <col min="7" max="7" width="11.77734375" style="79" customWidth="1"/>
    <col min="8" max="8" width="10.77734375" style="79" customWidth="1"/>
    <col min="9" max="16384" width="9" style="79"/>
  </cols>
  <sheetData>
    <row r="1" spans="1:15" x14ac:dyDescent="0.35">
      <c r="A1" s="361" t="s">
        <v>549</v>
      </c>
      <c r="B1" s="362"/>
      <c r="C1" s="363"/>
      <c r="E1" s="79" t="s">
        <v>192</v>
      </c>
      <c r="F1" s="79" t="s">
        <v>41</v>
      </c>
    </row>
    <row r="2" spans="1:15" x14ac:dyDescent="0.35">
      <c r="A2" s="302" t="s">
        <v>550</v>
      </c>
      <c r="B2" s="294" t="s">
        <v>546</v>
      </c>
      <c r="C2" s="295" t="s">
        <v>551</v>
      </c>
      <c r="E2" s="79" t="s">
        <v>188</v>
      </c>
      <c r="F2" s="79" t="s">
        <v>57</v>
      </c>
      <c r="G2" s="79" t="s">
        <v>58</v>
      </c>
      <c r="H2" s="79" t="s">
        <v>189</v>
      </c>
    </row>
    <row r="3" spans="1:15" x14ac:dyDescent="0.35">
      <c r="A3" s="303" t="s">
        <v>547</v>
      </c>
      <c r="B3" s="79" t="s">
        <v>548</v>
      </c>
      <c r="C3" s="307">
        <f>差异数据!G47</f>
        <v>8326.8431999998866</v>
      </c>
      <c r="E3" s="94" t="s">
        <v>52</v>
      </c>
      <c r="F3" s="119"/>
      <c r="G3" s="119">
        <v>8326.8431999998902</v>
      </c>
      <c r="H3" s="119">
        <v>8326.8431999998902</v>
      </c>
    </row>
    <row r="4" spans="1:15" x14ac:dyDescent="0.35">
      <c r="A4" s="303" t="s">
        <v>547</v>
      </c>
      <c r="B4" s="79" t="s">
        <v>534</v>
      </c>
      <c r="C4" s="296">
        <f>差异数据!G48</f>
        <v>13665.263999999966</v>
      </c>
      <c r="E4" s="94" t="s">
        <v>55</v>
      </c>
      <c r="F4" s="119">
        <v>-1002.78999999999</v>
      </c>
      <c r="G4" s="119">
        <v>13665.263999999999</v>
      </c>
      <c r="H4" s="119">
        <v>12662.474</v>
      </c>
    </row>
    <row r="5" spans="1:15" x14ac:dyDescent="0.35">
      <c r="A5" s="304" t="s">
        <v>165</v>
      </c>
      <c r="B5" s="199" t="s">
        <v>552</v>
      </c>
      <c r="C5" s="300">
        <f>差异数据!G49</f>
        <v>-1002.7899999999936</v>
      </c>
      <c r="E5" s="94" t="s">
        <v>189</v>
      </c>
      <c r="F5" s="119">
        <v>-1002.78999999999</v>
      </c>
      <c r="G5" s="119">
        <v>21992.1071999999</v>
      </c>
      <c r="H5" s="119">
        <v>20989.317199999899</v>
      </c>
    </row>
    <row r="7" spans="1:15" ht="15" customHeight="1" x14ac:dyDescent="0.35">
      <c r="A7" s="364" t="s">
        <v>553</v>
      </c>
      <c r="B7" s="364"/>
      <c r="C7" s="364"/>
    </row>
    <row r="8" spans="1:15" x14ac:dyDescent="0.35">
      <c r="A8" s="364"/>
      <c r="B8" s="364"/>
      <c r="C8" s="364"/>
    </row>
    <row r="9" spans="1:15" x14ac:dyDescent="0.35">
      <c r="A9" s="364"/>
      <c r="B9" s="364"/>
      <c r="C9" s="364"/>
    </row>
    <row r="10" spans="1:15" x14ac:dyDescent="0.35">
      <c r="A10" s="364"/>
      <c r="B10" s="364"/>
      <c r="C10" s="364"/>
    </row>
    <row r="11" spans="1:15" x14ac:dyDescent="0.35">
      <c r="A11" s="364"/>
      <c r="B11" s="364"/>
      <c r="C11" s="364"/>
    </row>
    <row r="16" spans="1:15" x14ac:dyDescent="0.35">
      <c r="O16" s="301"/>
    </row>
    <row r="17" spans="5:15" x14ac:dyDescent="0.35">
      <c r="O17" s="301"/>
    </row>
    <row r="18" spans="5:15" x14ac:dyDescent="0.35">
      <c r="O18" s="301"/>
    </row>
    <row r="27" spans="5:15" x14ac:dyDescent="0.35">
      <c r="E27" s="301"/>
      <c r="F27" s="301"/>
      <c r="G27" s="301"/>
      <c r="H27" s="301"/>
      <c r="I27" s="301"/>
      <c r="J27" s="301"/>
    </row>
    <row r="28" spans="5:15" x14ac:dyDescent="0.35">
      <c r="E28" s="301"/>
      <c r="F28" s="301"/>
      <c r="G28" s="301"/>
      <c r="H28" s="301"/>
      <c r="I28" s="301"/>
      <c r="J28" s="301"/>
    </row>
  </sheetData>
  <mergeCells count="2">
    <mergeCell ref="A1:C1"/>
    <mergeCell ref="A7:C11"/>
  </mergeCells>
  <phoneticPr fontId="2" type="noConversion"/>
  <pageMargins left="0.7" right="0.7" top="0.75" bottom="0.75" header="0.3" footer="0.3"/>
  <customProperties>
    <customPr name="EpmWorksheetKeyString_GU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49"/>
  <sheetViews>
    <sheetView topLeftCell="A31" zoomScale="115" zoomScaleNormal="115" workbookViewId="0">
      <selection activeCell="F15" sqref="F15"/>
    </sheetView>
  </sheetViews>
  <sheetFormatPr defaultColWidth="9" defaultRowHeight="15.6" x14ac:dyDescent="0.35"/>
  <cols>
    <col min="1" max="1" width="17.44140625" style="79" customWidth="1"/>
    <col min="2" max="2" width="14.6640625" style="79" customWidth="1"/>
    <col min="3" max="3" width="12.33203125" style="79" customWidth="1"/>
    <col min="4" max="4" width="15.33203125" style="79" customWidth="1"/>
    <col min="5" max="5" width="30" style="79" customWidth="1"/>
    <col min="6" max="6" width="22.21875" style="79" customWidth="1"/>
    <col min="7" max="7" width="10" style="79" customWidth="1"/>
    <col min="8" max="16384" width="9" style="79"/>
  </cols>
  <sheetData>
    <row r="1" spans="1:13" x14ac:dyDescent="0.35">
      <c r="A1" s="302" t="s">
        <v>572</v>
      </c>
      <c r="B1" s="294" t="s">
        <v>186</v>
      </c>
      <c r="C1" s="294" t="s">
        <v>573</v>
      </c>
      <c r="D1" s="294" t="s">
        <v>586</v>
      </c>
      <c r="E1" s="294" t="s">
        <v>589</v>
      </c>
      <c r="F1" s="294" t="s">
        <v>587</v>
      </c>
      <c r="G1" s="295" t="s">
        <v>574</v>
      </c>
      <c r="H1" s="309"/>
    </row>
    <row r="2" spans="1:13" x14ac:dyDescent="0.35">
      <c r="A2" s="303" t="s">
        <v>198</v>
      </c>
      <c r="B2" s="79" t="s">
        <v>12</v>
      </c>
      <c r="E2" s="79" t="s">
        <v>34</v>
      </c>
      <c r="F2" s="79" t="s">
        <v>35</v>
      </c>
      <c r="G2" s="310">
        <f>差异计算!H6</f>
        <v>-33026.411541984788</v>
      </c>
    </row>
    <row r="3" spans="1:13" x14ac:dyDescent="0.35">
      <c r="A3" s="303" t="s">
        <v>198</v>
      </c>
      <c r="B3" s="79" t="s">
        <v>13</v>
      </c>
      <c r="E3" s="79" t="s">
        <v>34</v>
      </c>
      <c r="F3" s="79" t="s">
        <v>35</v>
      </c>
      <c r="G3" s="310">
        <f>差异计算!H7</f>
        <v>8580.1357027989961</v>
      </c>
    </row>
    <row r="4" spans="1:13" x14ac:dyDescent="0.35">
      <c r="A4" s="303" t="s">
        <v>198</v>
      </c>
      <c r="B4" s="79" t="s">
        <v>14</v>
      </c>
      <c r="E4" s="79" t="s">
        <v>34</v>
      </c>
      <c r="F4" s="79" t="s">
        <v>35</v>
      </c>
      <c r="G4" s="310">
        <f>差异计算!H8</f>
        <v>68841.53340254449</v>
      </c>
    </row>
    <row r="5" spans="1:13" ht="15" customHeight="1" x14ac:dyDescent="0.35">
      <c r="A5" s="303" t="s">
        <v>198</v>
      </c>
      <c r="B5" s="79" t="s">
        <v>12</v>
      </c>
      <c r="E5" s="79" t="s">
        <v>34</v>
      </c>
      <c r="F5" s="79" t="s">
        <v>36</v>
      </c>
      <c r="G5" s="310">
        <f>差异计算!H15</f>
        <v>12904.689607584687</v>
      </c>
      <c r="I5" s="365" t="s">
        <v>575</v>
      </c>
      <c r="J5" s="365"/>
      <c r="K5" s="365"/>
      <c r="L5" s="365"/>
      <c r="M5" s="365"/>
    </row>
    <row r="6" spans="1:13" x14ac:dyDescent="0.35">
      <c r="A6" s="303" t="s">
        <v>198</v>
      </c>
      <c r="B6" s="79" t="s">
        <v>13</v>
      </c>
      <c r="E6" s="79" t="s">
        <v>34</v>
      </c>
      <c r="F6" s="79" t="s">
        <v>36</v>
      </c>
      <c r="G6" s="310">
        <f>差异计算!H16</f>
        <v>12452.938462960967</v>
      </c>
      <c r="I6" s="365"/>
      <c r="J6" s="365"/>
      <c r="K6" s="365"/>
      <c r="L6" s="365"/>
      <c r="M6" s="365"/>
    </row>
    <row r="7" spans="1:13" x14ac:dyDescent="0.35">
      <c r="A7" s="303" t="s">
        <v>198</v>
      </c>
      <c r="B7" s="79" t="s">
        <v>14</v>
      </c>
      <c r="E7" s="79" t="s">
        <v>34</v>
      </c>
      <c r="F7" s="79" t="s">
        <v>36</v>
      </c>
      <c r="G7" s="310">
        <f>差异计算!H17</f>
        <v>8141.2446878020974</v>
      </c>
      <c r="I7" s="365"/>
      <c r="J7" s="365"/>
      <c r="K7" s="365"/>
      <c r="L7" s="365"/>
      <c r="M7" s="365"/>
    </row>
    <row r="8" spans="1:13" x14ac:dyDescent="0.35">
      <c r="A8" s="303" t="s">
        <v>198</v>
      </c>
      <c r="B8" s="79" t="s">
        <v>12</v>
      </c>
      <c r="E8" s="79" t="s">
        <v>37</v>
      </c>
      <c r="F8" s="298" t="s">
        <v>38</v>
      </c>
      <c r="G8" s="310">
        <f>差异计算!E23</f>
        <v>31080</v>
      </c>
      <c r="I8" s="311" t="s">
        <v>576</v>
      </c>
      <c r="J8" s="312"/>
      <c r="K8" s="312"/>
      <c r="L8" s="312"/>
      <c r="M8" s="312"/>
    </row>
    <row r="9" spans="1:13" x14ac:dyDescent="0.35">
      <c r="A9" s="303" t="s">
        <v>198</v>
      </c>
      <c r="B9" s="79" t="s">
        <v>13</v>
      </c>
      <c r="E9" s="79" t="s">
        <v>37</v>
      </c>
      <c r="F9" s="298" t="s">
        <v>38</v>
      </c>
      <c r="G9" s="310">
        <f>差异计算!E24</f>
        <v>-34160</v>
      </c>
    </row>
    <row r="10" spans="1:13" x14ac:dyDescent="0.35">
      <c r="A10" s="303" t="s">
        <v>198</v>
      </c>
      <c r="B10" s="79" t="s">
        <v>14</v>
      </c>
      <c r="E10" s="79" t="s">
        <v>37</v>
      </c>
      <c r="G10" s="310">
        <f>差异计算!E25</f>
        <v>10400</v>
      </c>
    </row>
    <row r="11" spans="1:13" x14ac:dyDescent="0.35">
      <c r="A11" s="303" t="s">
        <v>199</v>
      </c>
      <c r="B11" s="79" t="s">
        <v>122</v>
      </c>
      <c r="D11" s="79" t="s">
        <v>578</v>
      </c>
      <c r="E11" s="79" t="s">
        <v>47</v>
      </c>
      <c r="G11" s="310">
        <f>差异计算!F31</f>
        <v>-47281.999999999833</v>
      </c>
    </row>
    <row r="12" spans="1:13" x14ac:dyDescent="0.35">
      <c r="A12" s="303" t="s">
        <v>199</v>
      </c>
      <c r="B12" s="79" t="s">
        <v>577</v>
      </c>
      <c r="D12" s="79" t="s">
        <v>581</v>
      </c>
      <c r="E12" s="79" t="s">
        <v>47</v>
      </c>
      <c r="G12" s="310">
        <f>差异计算!F32</f>
        <v>5708.6400000000049</v>
      </c>
    </row>
    <row r="13" spans="1:13" x14ac:dyDescent="0.35">
      <c r="A13" s="303" t="s">
        <v>199</v>
      </c>
      <c r="B13" s="79" t="s">
        <v>555</v>
      </c>
      <c r="D13" s="79" t="s">
        <v>590</v>
      </c>
      <c r="E13" s="79" t="s">
        <v>47</v>
      </c>
      <c r="G13" s="310">
        <f>差异计算!F33</f>
        <v>12511.999999999995</v>
      </c>
    </row>
    <row r="14" spans="1:13" x14ac:dyDescent="0.35">
      <c r="A14" s="303" t="s">
        <v>199</v>
      </c>
      <c r="B14" s="79" t="s">
        <v>577</v>
      </c>
      <c r="D14" s="79" t="s">
        <v>582</v>
      </c>
      <c r="E14" s="79" t="s">
        <v>47</v>
      </c>
      <c r="G14" s="310">
        <f>差异计算!F34</f>
        <v>2648.7499999999905</v>
      </c>
    </row>
    <row r="15" spans="1:13" x14ac:dyDescent="0.35">
      <c r="A15" s="303" t="s">
        <v>199</v>
      </c>
      <c r="B15" s="79" t="s">
        <v>12</v>
      </c>
      <c r="D15" s="79" t="s">
        <v>556</v>
      </c>
      <c r="E15" s="79" t="s">
        <v>46</v>
      </c>
      <c r="G15" s="310">
        <f>差异计算!O40</f>
        <v>-9720</v>
      </c>
    </row>
    <row r="16" spans="1:13" x14ac:dyDescent="0.35">
      <c r="A16" s="303" t="s">
        <v>199</v>
      </c>
      <c r="B16" s="79" t="s">
        <v>13</v>
      </c>
      <c r="D16" s="79" t="s">
        <v>578</v>
      </c>
      <c r="E16" s="79" t="s">
        <v>46</v>
      </c>
      <c r="G16" s="310">
        <f>差异计算!P40</f>
        <v>-20610.59999999986</v>
      </c>
    </row>
    <row r="17" spans="1:7" x14ac:dyDescent="0.35">
      <c r="A17" s="303" t="s">
        <v>199</v>
      </c>
      <c r="B17" s="79" t="s">
        <v>14</v>
      </c>
      <c r="D17" s="79" t="s">
        <v>554</v>
      </c>
      <c r="E17" s="79" t="s">
        <v>46</v>
      </c>
      <c r="G17" s="310">
        <f>差异计算!Q40</f>
        <v>16260.59999999986</v>
      </c>
    </row>
    <row r="18" spans="1:7" x14ac:dyDescent="0.35">
      <c r="A18" s="303" t="s">
        <v>199</v>
      </c>
      <c r="B18" s="79" t="s">
        <v>12</v>
      </c>
      <c r="D18" s="79" t="s">
        <v>579</v>
      </c>
      <c r="E18" s="79" t="s">
        <v>46</v>
      </c>
      <c r="G18" s="310">
        <f>差异计算!O41</f>
        <v>0</v>
      </c>
    </row>
    <row r="19" spans="1:7" x14ac:dyDescent="0.35">
      <c r="A19" s="303" t="s">
        <v>199</v>
      </c>
      <c r="B19" s="79" t="s">
        <v>13</v>
      </c>
      <c r="D19" s="79" t="s">
        <v>190</v>
      </c>
      <c r="E19" s="79" t="s">
        <v>46</v>
      </c>
      <c r="G19" s="310">
        <f>差异计算!P41</f>
        <v>0</v>
      </c>
    </row>
    <row r="20" spans="1:7" x14ac:dyDescent="0.35">
      <c r="A20" s="303" t="s">
        <v>199</v>
      </c>
      <c r="B20" s="79" t="s">
        <v>14</v>
      </c>
      <c r="D20" s="79" t="s">
        <v>579</v>
      </c>
      <c r="E20" s="79" t="s">
        <v>46</v>
      </c>
      <c r="G20" s="310">
        <f>差异计算!Q41</f>
        <v>0</v>
      </c>
    </row>
    <row r="21" spans="1:7" x14ac:dyDescent="0.35">
      <c r="A21" s="303" t="s">
        <v>199</v>
      </c>
      <c r="B21" s="79" t="s">
        <v>12</v>
      </c>
      <c r="D21" s="79" t="s">
        <v>591</v>
      </c>
      <c r="E21" s="79" t="s">
        <v>46</v>
      </c>
      <c r="G21" s="310">
        <f>差异计算!O42</f>
        <v>486</v>
      </c>
    </row>
    <row r="22" spans="1:7" x14ac:dyDescent="0.35">
      <c r="A22" s="303" t="s">
        <v>199</v>
      </c>
      <c r="B22" s="79" t="s">
        <v>13</v>
      </c>
      <c r="D22" s="79" t="s">
        <v>499</v>
      </c>
      <c r="E22" s="79" t="s">
        <v>46</v>
      </c>
      <c r="G22" s="310">
        <f>差异计算!P42</f>
        <v>1030.53</v>
      </c>
    </row>
    <row r="23" spans="1:7" x14ac:dyDescent="0.35">
      <c r="A23" s="303" t="s">
        <v>199</v>
      </c>
      <c r="B23" s="79" t="s">
        <v>14</v>
      </c>
      <c r="D23" s="79" t="s">
        <v>557</v>
      </c>
      <c r="E23" s="79" t="s">
        <v>46</v>
      </c>
      <c r="G23" s="310">
        <f>差异计算!Q42</f>
        <v>-162.60600000000034</v>
      </c>
    </row>
    <row r="24" spans="1:7" x14ac:dyDescent="0.35">
      <c r="A24" s="303" t="s">
        <v>199</v>
      </c>
      <c r="B24" s="79" t="s">
        <v>12</v>
      </c>
      <c r="D24" s="79" t="s">
        <v>500</v>
      </c>
      <c r="E24" s="79" t="s">
        <v>46</v>
      </c>
      <c r="G24" s="310">
        <f>差异计算!O43</f>
        <v>0</v>
      </c>
    </row>
    <row r="25" spans="1:7" x14ac:dyDescent="0.35">
      <c r="A25" s="303" t="s">
        <v>199</v>
      </c>
      <c r="B25" s="79" t="s">
        <v>13</v>
      </c>
      <c r="D25" s="79" t="s">
        <v>582</v>
      </c>
      <c r="E25" s="79" t="s">
        <v>46</v>
      </c>
      <c r="G25" s="310">
        <f>差异计算!P43</f>
        <v>0</v>
      </c>
    </row>
    <row r="26" spans="1:7" x14ac:dyDescent="0.35">
      <c r="A26" s="303" t="s">
        <v>199</v>
      </c>
      <c r="B26" s="79" t="s">
        <v>14</v>
      </c>
      <c r="D26" s="79" t="s">
        <v>191</v>
      </c>
      <c r="E26" s="79" t="s">
        <v>46</v>
      </c>
      <c r="G26" s="310">
        <f>差异计算!Q43</f>
        <v>-21680.800000000047</v>
      </c>
    </row>
    <row r="27" spans="1:7" x14ac:dyDescent="0.35">
      <c r="A27" s="303" t="s">
        <v>115</v>
      </c>
      <c r="B27" s="79" t="s">
        <v>555</v>
      </c>
      <c r="C27" s="306" t="s">
        <v>563</v>
      </c>
      <c r="E27" s="79" t="s">
        <v>558</v>
      </c>
      <c r="G27" s="310">
        <f>差异计算!F49</f>
        <v>-5593.0016666667461</v>
      </c>
    </row>
    <row r="28" spans="1:7" x14ac:dyDescent="0.35">
      <c r="A28" s="303" t="s">
        <v>115</v>
      </c>
      <c r="B28" s="79" t="s">
        <v>510</v>
      </c>
      <c r="C28" s="306" t="s">
        <v>518</v>
      </c>
      <c r="E28" s="79" t="s">
        <v>558</v>
      </c>
      <c r="G28" s="310">
        <f>差异计算!F50</f>
        <v>-13523.936999999978</v>
      </c>
    </row>
    <row r="29" spans="1:7" x14ac:dyDescent="0.35">
      <c r="A29" s="303" t="s">
        <v>115</v>
      </c>
      <c r="B29" s="79" t="s">
        <v>510</v>
      </c>
      <c r="C29" s="306" t="s">
        <v>521</v>
      </c>
      <c r="E29" s="79" t="s">
        <v>583</v>
      </c>
      <c r="G29" s="310">
        <f>差异计算!F51</f>
        <v>-23374.61249999997</v>
      </c>
    </row>
    <row r="30" spans="1:7" x14ac:dyDescent="0.35">
      <c r="A30" s="303" t="s">
        <v>115</v>
      </c>
      <c r="B30" s="79" t="s">
        <v>577</v>
      </c>
      <c r="C30" s="306" t="s">
        <v>561</v>
      </c>
      <c r="E30" s="79" t="s">
        <v>558</v>
      </c>
      <c r="G30" s="310">
        <f>差异计算!F52</f>
        <v>-7683.7664000000077</v>
      </c>
    </row>
    <row r="31" spans="1:7" x14ac:dyDescent="0.35">
      <c r="A31" s="303" t="s">
        <v>115</v>
      </c>
      <c r="B31" s="79" t="s">
        <v>12</v>
      </c>
      <c r="C31" s="306" t="s">
        <v>520</v>
      </c>
      <c r="E31" s="79" t="s">
        <v>562</v>
      </c>
      <c r="G31" s="310">
        <f>差异计算!O58</f>
        <v>-4860</v>
      </c>
    </row>
    <row r="32" spans="1:7" x14ac:dyDescent="0.35">
      <c r="A32" s="303" t="s">
        <v>115</v>
      </c>
      <c r="B32" s="79" t="s">
        <v>13</v>
      </c>
      <c r="C32" s="306" t="s">
        <v>72</v>
      </c>
      <c r="E32" s="79" t="s">
        <v>519</v>
      </c>
      <c r="G32" s="310">
        <f>差异计算!P58</f>
        <v>-2061.0599999999795</v>
      </c>
    </row>
    <row r="33" spans="1:7" x14ac:dyDescent="0.35">
      <c r="A33" s="303" t="s">
        <v>115</v>
      </c>
      <c r="B33" s="79" t="s">
        <v>14</v>
      </c>
      <c r="C33" s="306" t="s">
        <v>563</v>
      </c>
      <c r="E33" s="79" t="s">
        <v>566</v>
      </c>
      <c r="G33" s="310">
        <f>差异计算!Q58</f>
        <v>9756.3599999999751</v>
      </c>
    </row>
    <row r="34" spans="1:7" x14ac:dyDescent="0.35">
      <c r="A34" s="303" t="s">
        <v>115</v>
      </c>
      <c r="B34" s="79" t="s">
        <v>12</v>
      </c>
      <c r="C34" s="306" t="s">
        <v>518</v>
      </c>
      <c r="E34" s="79" t="s">
        <v>562</v>
      </c>
      <c r="G34" s="310">
        <f>差异计算!O59</f>
        <v>-11880</v>
      </c>
    </row>
    <row r="35" spans="1:7" x14ac:dyDescent="0.35">
      <c r="A35" s="303" t="s">
        <v>115</v>
      </c>
      <c r="B35" s="79" t="s">
        <v>13</v>
      </c>
      <c r="C35" s="306" t="s">
        <v>564</v>
      </c>
      <c r="E35" s="79" t="s">
        <v>562</v>
      </c>
      <c r="G35" s="310">
        <f>差异计算!P59</f>
        <v>-5038.1466666666565</v>
      </c>
    </row>
    <row r="36" spans="1:7" x14ac:dyDescent="0.35">
      <c r="A36" s="303" t="s">
        <v>115</v>
      </c>
      <c r="B36" s="79" t="s">
        <v>14</v>
      </c>
      <c r="C36" s="306" t="s">
        <v>564</v>
      </c>
      <c r="E36" s="79" t="s">
        <v>562</v>
      </c>
      <c r="G36" s="310">
        <f>差异计算!Q59</f>
        <v>7949.6266666666797</v>
      </c>
    </row>
    <row r="37" spans="1:7" x14ac:dyDescent="0.35">
      <c r="A37" s="303" t="s">
        <v>115</v>
      </c>
      <c r="B37" s="79" t="s">
        <v>12</v>
      </c>
      <c r="C37" s="306" t="s">
        <v>565</v>
      </c>
      <c r="E37" s="79" t="s">
        <v>562</v>
      </c>
      <c r="G37" s="310">
        <f>差异计算!O60</f>
        <v>0</v>
      </c>
    </row>
    <row r="38" spans="1:7" x14ac:dyDescent="0.35">
      <c r="A38" s="303" t="s">
        <v>115</v>
      </c>
      <c r="B38" s="79" t="s">
        <v>13</v>
      </c>
      <c r="C38" s="306" t="s">
        <v>565</v>
      </c>
      <c r="E38" s="79" t="s">
        <v>519</v>
      </c>
      <c r="G38" s="310">
        <f>差异计算!P60</f>
        <v>0</v>
      </c>
    </row>
    <row r="39" spans="1:7" x14ac:dyDescent="0.35">
      <c r="A39" s="303" t="s">
        <v>115</v>
      </c>
      <c r="B39" s="79" t="s">
        <v>14</v>
      </c>
      <c r="C39" s="306" t="s">
        <v>521</v>
      </c>
      <c r="E39" s="79" t="s">
        <v>562</v>
      </c>
      <c r="G39" s="310">
        <f>差异计算!Q60</f>
        <v>-82206.366666666654</v>
      </c>
    </row>
    <row r="40" spans="1:7" x14ac:dyDescent="0.35">
      <c r="A40" s="303" t="s">
        <v>115</v>
      </c>
      <c r="B40" s="79" t="s">
        <v>12</v>
      </c>
      <c r="C40" s="306" t="s">
        <v>567</v>
      </c>
      <c r="E40" s="79" t="s">
        <v>562</v>
      </c>
      <c r="G40" s="310">
        <f>差异计算!O61</f>
        <v>4050</v>
      </c>
    </row>
    <row r="41" spans="1:7" x14ac:dyDescent="0.35">
      <c r="A41" s="303" t="s">
        <v>115</v>
      </c>
      <c r="B41" s="79" t="s">
        <v>13</v>
      </c>
      <c r="C41" s="306" t="s">
        <v>533</v>
      </c>
      <c r="E41" s="79" t="s">
        <v>566</v>
      </c>
      <c r="G41" s="310">
        <f>差异计算!P61</f>
        <v>8587.7499999999964</v>
      </c>
    </row>
    <row r="42" spans="1:7" x14ac:dyDescent="0.35">
      <c r="A42" s="303" t="s">
        <v>115</v>
      </c>
      <c r="B42" s="79" t="s">
        <v>14</v>
      </c>
      <c r="C42" s="306" t="s">
        <v>567</v>
      </c>
      <c r="E42" s="79" t="s">
        <v>592</v>
      </c>
      <c r="G42" s="310">
        <f>差异计算!Q61</f>
        <v>-4065.1500000000033</v>
      </c>
    </row>
    <row r="43" spans="1:7" x14ac:dyDescent="0.35">
      <c r="A43" s="303" t="s">
        <v>80</v>
      </c>
      <c r="B43" s="79" t="s">
        <v>122</v>
      </c>
      <c r="E43" s="79" t="s">
        <v>568</v>
      </c>
      <c r="F43" s="79" t="s">
        <v>196</v>
      </c>
      <c r="G43" s="310">
        <f>差异计算!F74</f>
        <v>-17545.709999999963</v>
      </c>
    </row>
    <row r="44" spans="1:7" x14ac:dyDescent="0.35">
      <c r="A44" s="303" t="s">
        <v>80</v>
      </c>
      <c r="B44" s="79" t="s">
        <v>571</v>
      </c>
      <c r="E44" s="79" t="s">
        <v>584</v>
      </c>
      <c r="F44" s="79" t="s">
        <v>195</v>
      </c>
      <c r="G44" s="310">
        <f>差异计算!R69</f>
        <v>7930.0433333333422</v>
      </c>
    </row>
    <row r="45" spans="1:7" x14ac:dyDescent="0.35">
      <c r="A45" s="303" t="s">
        <v>80</v>
      </c>
      <c r="B45" s="79" t="s">
        <v>555</v>
      </c>
      <c r="E45" s="79" t="s">
        <v>588</v>
      </c>
      <c r="F45" s="79" t="s">
        <v>570</v>
      </c>
      <c r="G45" s="310">
        <f>试算!E12</f>
        <v>6668.2759008246212</v>
      </c>
    </row>
    <row r="46" spans="1:7" x14ac:dyDescent="0.35">
      <c r="A46" s="303" t="s">
        <v>80</v>
      </c>
      <c r="B46" s="79" t="s">
        <v>560</v>
      </c>
      <c r="E46" s="79" t="s">
        <v>569</v>
      </c>
      <c r="F46" s="79" t="s">
        <v>580</v>
      </c>
      <c r="G46" s="310">
        <f>差异计算!E90</f>
        <v>-12174</v>
      </c>
    </row>
    <row r="47" spans="1:7" x14ac:dyDescent="0.35">
      <c r="A47" s="303" t="s">
        <v>81</v>
      </c>
      <c r="B47" s="79" t="s">
        <v>122</v>
      </c>
      <c r="E47" s="79" t="s">
        <v>585</v>
      </c>
      <c r="F47" s="79" t="s">
        <v>559</v>
      </c>
      <c r="G47" s="310">
        <f>差异计算!C111</f>
        <v>8326.8431999998866</v>
      </c>
    </row>
    <row r="48" spans="1:7" x14ac:dyDescent="0.35">
      <c r="A48" s="303" t="s">
        <v>81</v>
      </c>
      <c r="B48" s="79" t="s">
        <v>560</v>
      </c>
      <c r="E48" s="79" t="s">
        <v>593</v>
      </c>
      <c r="F48" s="79" t="s">
        <v>580</v>
      </c>
      <c r="G48" s="310">
        <f>差异计算!D111</f>
        <v>13665.263999999966</v>
      </c>
    </row>
    <row r="49" spans="1:7" x14ac:dyDescent="0.35">
      <c r="A49" s="304" t="s">
        <v>81</v>
      </c>
      <c r="B49" s="199" t="s">
        <v>560</v>
      </c>
      <c r="C49" s="199"/>
      <c r="D49" s="199"/>
      <c r="E49" s="199" t="s">
        <v>545</v>
      </c>
      <c r="F49" s="199" t="s">
        <v>534</v>
      </c>
      <c r="G49" s="313">
        <f>差异计算!E121</f>
        <v>-1002.7899999999936</v>
      </c>
    </row>
  </sheetData>
  <mergeCells count="1">
    <mergeCell ref="I5:M7"/>
  </mergeCells>
  <phoneticPr fontId="2" type="noConversion"/>
  <pageMargins left="0.7" right="0.7" top="0.75" bottom="0.75" header="0.3" footer="0.3"/>
  <pageSetup orientation="portrait"/>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5"/>
  <sheetViews>
    <sheetView zoomScale="70" zoomScaleNormal="70" workbookViewId="0">
      <selection activeCell="M4" sqref="M4:M7"/>
    </sheetView>
  </sheetViews>
  <sheetFormatPr defaultColWidth="11.88671875" defaultRowHeight="15.6" x14ac:dyDescent="0.35"/>
  <cols>
    <col min="1" max="12" width="11.88671875" style="2"/>
    <col min="13" max="13" width="11.88671875" style="33"/>
    <col min="14" max="16384" width="11.88671875" style="2"/>
  </cols>
  <sheetData>
    <row r="1" spans="1:15" ht="16.8" x14ac:dyDescent="0.35">
      <c r="A1" s="24" t="s">
        <v>265</v>
      </c>
      <c r="B1" s="25"/>
      <c r="C1" s="26"/>
      <c r="D1" s="26"/>
      <c r="E1" s="26"/>
      <c r="F1" s="27"/>
      <c r="G1" s="28"/>
      <c r="H1" s="29" t="s">
        <v>225</v>
      </c>
      <c r="I1" s="25"/>
      <c r="J1" s="26"/>
      <c r="K1" s="26"/>
      <c r="L1" s="26"/>
      <c r="M1" s="26"/>
      <c r="N1" s="30"/>
    </row>
    <row r="2" spans="1:15" x14ac:dyDescent="0.35">
      <c r="A2" s="31" t="s">
        <v>226</v>
      </c>
      <c r="F2" s="32"/>
      <c r="H2" s="31" t="s">
        <v>227</v>
      </c>
      <c r="N2" s="32"/>
    </row>
    <row r="3" spans="1:15" x14ac:dyDescent="0.35">
      <c r="A3" s="31"/>
      <c r="B3" s="2" t="s">
        <v>71</v>
      </c>
      <c r="F3" s="32"/>
      <c r="H3" s="31"/>
      <c r="J3" s="34" t="s">
        <v>12</v>
      </c>
      <c r="K3" s="34" t="s">
        <v>13</v>
      </c>
      <c r="L3" s="34" t="s">
        <v>14</v>
      </c>
      <c r="M3" s="35" t="s">
        <v>79</v>
      </c>
      <c r="N3" s="32"/>
    </row>
    <row r="4" spans="1:15" x14ac:dyDescent="0.35">
      <c r="A4" s="31"/>
      <c r="B4" s="2" t="s">
        <v>86</v>
      </c>
      <c r="F4" s="32"/>
      <c r="H4" s="31"/>
      <c r="I4" s="34" t="s">
        <v>87</v>
      </c>
      <c r="J4" s="36">
        <v>3.2</v>
      </c>
      <c r="K4" s="36">
        <v>3.25</v>
      </c>
      <c r="L4" s="36">
        <v>3.5</v>
      </c>
      <c r="M4" s="33">
        <v>6</v>
      </c>
      <c r="N4" s="32" t="s">
        <v>88</v>
      </c>
    </row>
    <row r="5" spans="1:15" x14ac:dyDescent="0.35">
      <c r="A5" s="31"/>
      <c r="B5" s="2" t="s">
        <v>229</v>
      </c>
      <c r="F5" s="32"/>
      <c r="H5" s="31"/>
      <c r="I5" s="34" t="s">
        <v>230</v>
      </c>
      <c r="J5" s="37">
        <v>1</v>
      </c>
      <c r="K5" s="37">
        <v>1</v>
      </c>
      <c r="L5" s="37">
        <v>1</v>
      </c>
      <c r="M5" s="33">
        <v>1.25</v>
      </c>
      <c r="N5" s="32" t="s">
        <v>231</v>
      </c>
    </row>
    <row r="6" spans="1:15" x14ac:dyDescent="0.35">
      <c r="A6" s="31"/>
      <c r="F6" s="32"/>
      <c r="H6" s="31"/>
      <c r="I6" s="34" t="s">
        <v>232</v>
      </c>
      <c r="J6" s="37">
        <v>3</v>
      </c>
      <c r="K6" s="37">
        <v>27</v>
      </c>
      <c r="L6" s="37">
        <v>3</v>
      </c>
      <c r="M6" s="33">
        <v>0.03</v>
      </c>
      <c r="N6" s="32" t="s">
        <v>228</v>
      </c>
    </row>
    <row r="7" spans="1:15" x14ac:dyDescent="0.35">
      <c r="A7" s="31" t="s">
        <v>233</v>
      </c>
      <c r="F7" s="32"/>
      <c r="H7" s="31"/>
      <c r="I7" s="34" t="s">
        <v>234</v>
      </c>
      <c r="J7" s="37">
        <v>0</v>
      </c>
      <c r="K7" s="37">
        <v>0</v>
      </c>
      <c r="L7" s="37">
        <v>1</v>
      </c>
      <c r="M7" s="33">
        <v>8</v>
      </c>
      <c r="N7" s="32" t="s">
        <v>231</v>
      </c>
    </row>
    <row r="8" spans="1:15" x14ac:dyDescent="0.35">
      <c r="A8" s="31"/>
      <c r="B8" s="2" t="s">
        <v>11</v>
      </c>
      <c r="C8" s="38">
        <v>160742.712</v>
      </c>
      <c r="D8" s="39"/>
      <c r="E8" s="39"/>
      <c r="F8" s="32"/>
      <c r="H8" s="31"/>
      <c r="I8" s="34"/>
      <c r="N8" s="32"/>
    </row>
    <row r="9" spans="1:15" x14ac:dyDescent="0.35">
      <c r="A9" s="31"/>
      <c r="B9" s="2" t="s">
        <v>15</v>
      </c>
      <c r="C9" s="38">
        <v>65945.728000000003</v>
      </c>
      <c r="F9" s="32"/>
      <c r="H9" s="31" t="s">
        <v>235</v>
      </c>
      <c r="I9" s="34"/>
      <c r="J9" s="317" t="s">
        <v>236</v>
      </c>
      <c r="K9" s="317"/>
      <c r="L9" s="317"/>
      <c r="N9" s="32"/>
      <c r="O9" s="40"/>
    </row>
    <row r="10" spans="1:15" x14ac:dyDescent="0.35">
      <c r="A10" s="31"/>
      <c r="B10" s="2" t="s">
        <v>16</v>
      </c>
      <c r="C10" s="38">
        <v>43276.883999999998</v>
      </c>
      <c r="F10" s="32"/>
      <c r="H10" s="31"/>
      <c r="I10" s="34"/>
      <c r="J10" s="34" t="s">
        <v>12</v>
      </c>
      <c r="K10" s="34" t="s">
        <v>13</v>
      </c>
      <c r="L10" s="34" t="s">
        <v>14</v>
      </c>
      <c r="M10" s="35" t="s">
        <v>237</v>
      </c>
      <c r="N10" s="32"/>
    </row>
    <row r="11" spans="1:15" x14ac:dyDescent="0.35">
      <c r="A11" s="31" t="s">
        <v>238</v>
      </c>
      <c r="F11" s="32"/>
      <c r="H11" s="31"/>
      <c r="I11" s="34" t="s">
        <v>239</v>
      </c>
      <c r="J11" s="37">
        <v>11</v>
      </c>
      <c r="K11" s="37">
        <v>12</v>
      </c>
      <c r="L11" s="37">
        <v>14</v>
      </c>
      <c r="M11" s="33">
        <v>18</v>
      </c>
      <c r="N11" s="32"/>
    </row>
    <row r="12" spans="1:15" x14ac:dyDescent="0.35">
      <c r="A12" s="31"/>
      <c r="B12" s="2" t="s">
        <v>11</v>
      </c>
      <c r="C12" s="41">
        <v>35</v>
      </c>
      <c r="F12" s="32"/>
      <c r="H12" s="31"/>
      <c r="I12" s="34" t="s">
        <v>240</v>
      </c>
      <c r="J12" s="37">
        <v>5</v>
      </c>
      <c r="K12" s="37">
        <v>7</v>
      </c>
      <c r="L12" s="37">
        <v>9</v>
      </c>
      <c r="M12" s="33">
        <v>22</v>
      </c>
      <c r="N12" s="32"/>
    </row>
    <row r="13" spans="1:15" x14ac:dyDescent="0.35">
      <c r="A13" s="31"/>
      <c r="B13" s="2" t="s">
        <v>15</v>
      </c>
      <c r="C13" s="41">
        <v>44</v>
      </c>
      <c r="F13" s="32"/>
      <c r="H13" s="31"/>
      <c r="I13" s="34" t="s">
        <v>241</v>
      </c>
      <c r="J13" s="37">
        <v>0</v>
      </c>
      <c r="K13" s="37">
        <v>0</v>
      </c>
      <c r="L13" s="37">
        <v>19</v>
      </c>
      <c r="M13" s="33">
        <v>26</v>
      </c>
      <c r="N13" s="32"/>
    </row>
    <row r="14" spans="1:15" x14ac:dyDescent="0.35">
      <c r="A14" s="31"/>
      <c r="B14" s="2" t="s">
        <v>16</v>
      </c>
      <c r="C14" s="41">
        <v>64</v>
      </c>
      <c r="F14" s="32"/>
      <c r="H14" s="31"/>
      <c r="I14" s="34" t="s">
        <v>75</v>
      </c>
      <c r="J14" s="37">
        <v>6</v>
      </c>
      <c r="K14" s="37">
        <v>8</v>
      </c>
      <c r="L14" s="37">
        <v>8</v>
      </c>
      <c r="M14" s="33">
        <v>15</v>
      </c>
      <c r="N14" s="32"/>
    </row>
    <row r="15" spans="1:15" x14ac:dyDescent="0.35">
      <c r="A15" s="31"/>
      <c r="F15" s="32"/>
      <c r="H15" s="31"/>
      <c r="N15" s="32"/>
    </row>
    <row r="16" spans="1:15" x14ac:dyDescent="0.35">
      <c r="A16" s="31"/>
      <c r="F16" s="32"/>
      <c r="H16" s="318" t="s">
        <v>242</v>
      </c>
      <c r="I16" s="319"/>
      <c r="J16" s="314"/>
      <c r="K16" s="314"/>
      <c r="L16" s="320"/>
      <c r="M16" s="320"/>
      <c r="N16" s="32"/>
    </row>
    <row r="17" spans="1:14" x14ac:dyDescent="0.35">
      <c r="A17" s="31"/>
      <c r="C17" s="42"/>
      <c r="E17" s="43"/>
      <c r="F17" s="32"/>
      <c r="H17" s="315"/>
      <c r="I17" s="319" t="s">
        <v>92</v>
      </c>
      <c r="J17" s="319"/>
      <c r="K17" s="319"/>
      <c r="L17" s="319"/>
      <c r="M17" s="2"/>
      <c r="N17" s="32"/>
    </row>
    <row r="18" spans="1:14" x14ac:dyDescent="0.35">
      <c r="A18" s="44"/>
      <c r="B18" s="45"/>
      <c r="C18" s="45"/>
      <c r="D18" s="45"/>
      <c r="E18" s="45"/>
      <c r="F18" s="46"/>
      <c r="H18" s="31"/>
      <c r="J18" s="47"/>
      <c r="K18" s="34" t="s">
        <v>12</v>
      </c>
      <c r="L18" s="34" t="s">
        <v>13</v>
      </c>
      <c r="M18" s="34" t="s">
        <v>14</v>
      </c>
      <c r="N18" s="32"/>
    </row>
    <row r="19" spans="1:14" x14ac:dyDescent="0.35">
      <c r="A19" s="48"/>
      <c r="B19" s="49"/>
      <c r="C19" s="49"/>
      <c r="D19" s="49"/>
      <c r="E19" s="49"/>
      <c r="F19" s="49"/>
      <c r="H19" s="50"/>
      <c r="I19" s="34"/>
      <c r="J19" s="34" t="s">
        <v>77</v>
      </c>
      <c r="K19" s="37">
        <v>8</v>
      </c>
      <c r="L19" s="37">
        <v>9</v>
      </c>
      <c r="M19" s="37">
        <v>13</v>
      </c>
      <c r="N19" s="32"/>
    </row>
    <row r="20" spans="1:14" x14ac:dyDescent="0.35">
      <c r="A20" s="24" t="s">
        <v>243</v>
      </c>
      <c r="B20" s="25"/>
      <c r="C20" s="26"/>
      <c r="D20" s="26"/>
      <c r="E20" s="26"/>
      <c r="F20" s="27"/>
      <c r="H20" s="51"/>
      <c r="I20" s="52"/>
      <c r="J20" s="52" t="s">
        <v>244</v>
      </c>
      <c r="K20" s="53">
        <v>5</v>
      </c>
      <c r="L20" s="53">
        <v>10</v>
      </c>
      <c r="M20" s="53">
        <v>8</v>
      </c>
      <c r="N20" s="46"/>
    </row>
    <row r="21" spans="1:14" x14ac:dyDescent="0.35">
      <c r="A21" s="31"/>
      <c r="C21" s="54" t="s">
        <v>245</v>
      </c>
      <c r="D21" s="54" t="s">
        <v>246</v>
      </c>
      <c r="E21" s="55" t="s">
        <v>95</v>
      </c>
      <c r="F21" s="56" t="s">
        <v>85</v>
      </c>
      <c r="G21" s="55"/>
    </row>
    <row r="22" spans="1:14" x14ac:dyDescent="0.35">
      <c r="A22" s="57" t="s">
        <v>96</v>
      </c>
      <c r="B22" s="58"/>
      <c r="C22" s="59"/>
      <c r="D22" s="59"/>
      <c r="E22" s="59"/>
      <c r="F22" s="60"/>
      <c r="G22" s="59"/>
      <c r="H22" s="24" t="s">
        <v>97</v>
      </c>
      <c r="I22" s="25"/>
      <c r="J22" s="26"/>
      <c r="K22" s="26"/>
      <c r="L22" s="26"/>
      <c r="M22" s="27"/>
    </row>
    <row r="23" spans="1:14" x14ac:dyDescent="0.35">
      <c r="A23" s="61" t="str">
        <f>I4</f>
        <v>布料（尺）</v>
      </c>
      <c r="C23" s="59">
        <v>53547.662499999999</v>
      </c>
      <c r="D23" s="59">
        <v>887223.94604802597</v>
      </c>
      <c r="E23" s="59">
        <v>882809.89656519995</v>
      </c>
      <c r="F23" s="60">
        <v>57961.711982825997</v>
      </c>
      <c r="G23" s="62"/>
      <c r="H23" s="31" t="s">
        <v>98</v>
      </c>
      <c r="M23" s="63"/>
    </row>
    <row r="24" spans="1:14" x14ac:dyDescent="0.35">
      <c r="A24" s="61" t="str">
        <f>I5</f>
        <v>拉链、铆钉（套）</v>
      </c>
      <c r="C24" s="59">
        <v>16424.125</v>
      </c>
      <c r="D24" s="59">
        <v>272129.09607186</v>
      </c>
      <c r="E24" s="59">
        <v>270775.21997199999</v>
      </c>
      <c r="F24" s="60">
        <v>17778.001099860001</v>
      </c>
      <c r="G24" s="62"/>
      <c r="H24" s="31"/>
      <c r="I24" s="33">
        <v>7</v>
      </c>
      <c r="J24" s="2" t="s">
        <v>248</v>
      </c>
      <c r="M24" s="63"/>
    </row>
    <row r="25" spans="1:14" x14ac:dyDescent="0.35">
      <c r="A25" s="61" t="str">
        <f>I6</f>
        <v>刺绣针线（尺）</v>
      </c>
      <c r="C25" s="59">
        <v>145560.375</v>
      </c>
      <c r="D25" s="59">
        <v>2411770.0804536599</v>
      </c>
      <c r="E25" s="59">
        <v>2399771.2243320001</v>
      </c>
      <c r="F25" s="60">
        <v>157559.23112166001</v>
      </c>
      <c r="G25" s="62"/>
      <c r="H25" s="31" t="s">
        <v>249</v>
      </c>
      <c r="M25" s="32"/>
    </row>
    <row r="26" spans="1:14" x14ac:dyDescent="0.35">
      <c r="A26" s="61" t="str">
        <f>I7</f>
        <v>亮片饰物（套）</v>
      </c>
      <c r="C26" s="59">
        <v>2632.875</v>
      </c>
      <c r="D26" s="59">
        <v>43623.748225260002</v>
      </c>
      <c r="E26" s="59">
        <v>43406.714652000002</v>
      </c>
      <c r="F26" s="60">
        <v>2849.9085732600001</v>
      </c>
      <c r="G26" s="62"/>
      <c r="H26" s="31"/>
      <c r="I26" s="42">
        <v>54000</v>
      </c>
      <c r="J26" s="42" t="s">
        <v>250</v>
      </c>
      <c r="M26" s="32"/>
    </row>
    <row r="27" spans="1:14" x14ac:dyDescent="0.35">
      <c r="A27" s="31"/>
      <c r="C27" s="59"/>
      <c r="D27" s="59"/>
      <c r="E27" s="59"/>
      <c r="F27" s="60"/>
      <c r="H27" s="31"/>
      <c r="I27" s="42">
        <v>69900</v>
      </c>
      <c r="J27" s="2" t="s">
        <v>251</v>
      </c>
      <c r="M27" s="32"/>
    </row>
    <row r="28" spans="1:14" x14ac:dyDescent="0.35">
      <c r="A28" s="31"/>
      <c r="C28" s="54" t="s">
        <v>245</v>
      </c>
      <c r="D28" s="54" t="s">
        <v>252</v>
      </c>
      <c r="E28" s="64" t="s">
        <v>84</v>
      </c>
      <c r="F28" s="65" t="s">
        <v>247</v>
      </c>
      <c r="G28" s="64"/>
      <c r="H28" s="31"/>
      <c r="I28" s="42">
        <v>100800</v>
      </c>
      <c r="J28" s="2" t="s">
        <v>254</v>
      </c>
      <c r="M28" s="32"/>
    </row>
    <row r="29" spans="1:14" x14ac:dyDescent="0.35">
      <c r="A29" s="66" t="s">
        <v>104</v>
      </c>
      <c r="B29" s="42"/>
      <c r="F29" s="32"/>
      <c r="H29" s="44"/>
      <c r="I29" s="67">
        <v>3.1616768052742401</v>
      </c>
      <c r="J29" s="68" t="s">
        <v>255</v>
      </c>
      <c r="K29" s="45"/>
      <c r="L29" s="45"/>
      <c r="M29" s="46"/>
    </row>
    <row r="30" spans="1:14" ht="15.75" customHeight="1" x14ac:dyDescent="0.35">
      <c r="A30" s="69" t="str">
        <f>B8</f>
        <v>BBJ:</v>
      </c>
      <c r="C30" s="59">
        <v>5850</v>
      </c>
      <c r="D30" s="59">
        <v>161224.94013599999</v>
      </c>
      <c r="E30" s="59">
        <f>C8</f>
        <v>160742.712</v>
      </c>
      <c r="F30" s="60">
        <v>6332.2281359999997</v>
      </c>
      <c r="G30" s="59"/>
      <c r="H30" s="70"/>
      <c r="I30" s="70"/>
      <c r="M30" s="2"/>
    </row>
    <row r="31" spans="1:14" x14ac:dyDescent="0.35">
      <c r="A31" s="69" t="str">
        <f>B9</f>
        <v>EBJ:</v>
      </c>
      <c r="C31" s="59">
        <v>2400</v>
      </c>
      <c r="D31" s="59">
        <v>66143.565184000006</v>
      </c>
      <c r="E31" s="59">
        <f>C9</f>
        <v>65945.728000000003</v>
      </c>
      <c r="F31" s="60">
        <v>2597.837184</v>
      </c>
      <c r="G31" s="59"/>
      <c r="H31" s="24" t="s">
        <v>256</v>
      </c>
      <c r="I31" s="25"/>
      <c r="J31" s="26"/>
      <c r="K31" s="26"/>
      <c r="L31" s="26"/>
      <c r="M31" s="27"/>
    </row>
    <row r="32" spans="1:14" x14ac:dyDescent="0.35">
      <c r="A32" s="69" t="str">
        <f>B10</f>
        <v>JBJ:</v>
      </c>
      <c r="C32" s="59">
        <v>1575</v>
      </c>
      <c r="D32" s="59">
        <v>43406.714652000002</v>
      </c>
      <c r="E32" s="59">
        <f>C10</f>
        <v>43276.883999999998</v>
      </c>
      <c r="F32" s="60">
        <v>1704.8306520000001</v>
      </c>
      <c r="G32" s="59"/>
      <c r="H32" s="31" t="s">
        <v>257</v>
      </c>
      <c r="M32" s="63"/>
    </row>
    <row r="33" spans="1:13" x14ac:dyDescent="0.35">
      <c r="A33" s="44"/>
      <c r="B33" s="45"/>
      <c r="C33" s="45"/>
      <c r="D33" s="45"/>
      <c r="E33" s="45"/>
      <c r="F33" s="46"/>
      <c r="H33" s="31"/>
      <c r="I33" s="2" t="s">
        <v>258</v>
      </c>
      <c r="J33" s="43">
        <v>0.03</v>
      </c>
      <c r="K33" s="2" t="s">
        <v>259</v>
      </c>
      <c r="L33" s="2" t="s">
        <v>109</v>
      </c>
      <c r="M33" s="63"/>
    </row>
    <row r="34" spans="1:13" x14ac:dyDescent="0.35">
      <c r="A34" s="31"/>
      <c r="H34" s="31"/>
      <c r="I34" s="2" t="s">
        <v>260</v>
      </c>
      <c r="J34" s="71">
        <v>0.03</v>
      </c>
      <c r="K34" s="2" t="s">
        <v>259</v>
      </c>
      <c r="M34" s="63"/>
    </row>
    <row r="35" spans="1:13" ht="15" customHeight="1" x14ac:dyDescent="0.35">
      <c r="A35" s="321" t="s">
        <v>111</v>
      </c>
      <c r="B35" s="324" t="s">
        <v>266</v>
      </c>
      <c r="C35" s="324"/>
      <c r="D35" s="324"/>
      <c r="E35" s="324"/>
      <c r="F35" s="325"/>
      <c r="H35" s="31"/>
      <c r="I35" s="2" t="s">
        <v>261</v>
      </c>
      <c r="J35" s="43">
        <v>1.4E-2</v>
      </c>
      <c r="K35" s="2" t="s">
        <v>259</v>
      </c>
      <c r="M35" s="63"/>
    </row>
    <row r="36" spans="1:13" x14ac:dyDescent="0.35">
      <c r="A36" s="322"/>
      <c r="B36" s="326"/>
      <c r="C36" s="326"/>
      <c r="D36" s="326"/>
      <c r="E36" s="326"/>
      <c r="F36" s="327"/>
      <c r="H36" s="31" t="s">
        <v>262</v>
      </c>
      <c r="M36" s="63"/>
    </row>
    <row r="37" spans="1:13" x14ac:dyDescent="0.35">
      <c r="A37" s="323"/>
      <c r="B37" s="328"/>
      <c r="C37" s="328"/>
      <c r="D37" s="328"/>
      <c r="E37" s="328"/>
      <c r="F37" s="329"/>
      <c r="H37" s="31"/>
      <c r="I37" s="42">
        <f>6500*12</f>
        <v>78000</v>
      </c>
      <c r="J37" s="2" t="s">
        <v>263</v>
      </c>
      <c r="M37" s="63"/>
    </row>
    <row r="38" spans="1:13" x14ac:dyDescent="0.35">
      <c r="H38" s="31"/>
      <c r="I38" s="42">
        <f>24650*12+2100</f>
        <v>297900</v>
      </c>
      <c r="J38" s="2" t="s">
        <v>267</v>
      </c>
      <c r="M38" s="63"/>
    </row>
    <row r="39" spans="1:13" x14ac:dyDescent="0.35">
      <c r="H39" s="44"/>
      <c r="I39" s="72">
        <f>14000*12</f>
        <v>168000</v>
      </c>
      <c r="J39" s="46" t="s">
        <v>264</v>
      </c>
      <c r="K39" s="45"/>
      <c r="L39" s="45"/>
      <c r="M39" s="73"/>
    </row>
    <row r="42" spans="1:13" x14ac:dyDescent="0.35">
      <c r="A42" s="70"/>
      <c r="D42" s="70"/>
    </row>
    <row r="43" spans="1:13" x14ac:dyDescent="0.35">
      <c r="C43" s="74"/>
    </row>
    <row r="44" spans="1:13" x14ac:dyDescent="0.35">
      <c r="C44" s="59"/>
    </row>
    <row r="45" spans="1:13" x14ac:dyDescent="0.35">
      <c r="C45" s="74"/>
    </row>
  </sheetData>
  <mergeCells count="6">
    <mergeCell ref="J9:L9"/>
    <mergeCell ref="H16:I16"/>
    <mergeCell ref="L16:M16"/>
    <mergeCell ref="I17:L17"/>
    <mergeCell ref="A35:A37"/>
    <mergeCell ref="B35:F37"/>
  </mergeCells>
  <phoneticPr fontId="2" type="noConversion"/>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4"/>
  <sheetViews>
    <sheetView zoomScale="70" zoomScaleNormal="70" workbookViewId="0">
      <selection activeCell="K38" sqref="K38"/>
    </sheetView>
  </sheetViews>
  <sheetFormatPr defaultColWidth="9.109375" defaultRowHeight="15.6" x14ac:dyDescent="0.35"/>
  <cols>
    <col min="1" max="6" width="15.77734375" style="79" customWidth="1"/>
    <col min="7" max="7" width="2.77734375" style="79" customWidth="1"/>
    <col min="8" max="12" width="15.77734375" style="79" customWidth="1"/>
    <col min="13" max="13" width="15.77734375" style="81" customWidth="1"/>
    <col min="14" max="14" width="15.77734375" style="79" customWidth="1"/>
    <col min="15" max="16" width="9.109375" style="79"/>
    <col min="17" max="17" width="13.21875" style="79" customWidth="1"/>
    <col min="18" max="16384" width="9.109375" style="79"/>
  </cols>
  <sheetData>
    <row r="1" spans="1:15" ht="16.8" x14ac:dyDescent="0.35">
      <c r="A1" s="24" t="s">
        <v>69</v>
      </c>
      <c r="B1" s="25"/>
      <c r="C1" s="75"/>
      <c r="D1" s="75"/>
      <c r="E1" s="75"/>
      <c r="F1" s="76"/>
      <c r="G1" s="77"/>
      <c r="H1" s="29" t="s">
        <v>268</v>
      </c>
      <c r="I1" s="25"/>
      <c r="J1" s="75"/>
      <c r="K1" s="75"/>
      <c r="L1" s="75"/>
      <c r="M1" s="78"/>
      <c r="N1" s="76"/>
    </row>
    <row r="2" spans="1:15" x14ac:dyDescent="0.35">
      <c r="A2" s="31" t="s">
        <v>70</v>
      </c>
      <c r="B2" s="2"/>
      <c r="F2" s="80"/>
      <c r="H2" s="31" t="s">
        <v>269</v>
      </c>
      <c r="I2" s="2"/>
      <c r="N2" s="80"/>
    </row>
    <row r="3" spans="1:15" x14ac:dyDescent="0.35">
      <c r="A3" s="31"/>
      <c r="B3" s="2" t="s">
        <v>270</v>
      </c>
      <c r="F3" s="80"/>
      <c r="H3" s="31"/>
      <c r="I3" s="2"/>
      <c r="J3" s="97" t="s">
        <v>12</v>
      </c>
      <c r="K3" s="97" t="s">
        <v>13</v>
      </c>
      <c r="L3" s="97" t="s">
        <v>14</v>
      </c>
      <c r="M3" s="82" t="s">
        <v>79</v>
      </c>
      <c r="N3" s="80"/>
    </row>
    <row r="4" spans="1:15" x14ac:dyDescent="0.35">
      <c r="A4" s="31"/>
      <c r="B4" s="2" t="s">
        <v>86</v>
      </c>
      <c r="F4" s="80"/>
      <c r="H4" s="31"/>
      <c r="I4" s="34" t="s">
        <v>87</v>
      </c>
      <c r="J4" s="83">
        <v>3.21</v>
      </c>
      <c r="K4" s="83">
        <v>3.3</v>
      </c>
      <c r="L4" s="83">
        <v>3.45</v>
      </c>
      <c r="M4" s="81">
        <v>6.05</v>
      </c>
      <c r="N4" s="32" t="s">
        <v>88</v>
      </c>
    </row>
    <row r="5" spans="1:15" x14ac:dyDescent="0.35">
      <c r="A5" s="31"/>
      <c r="B5" s="2" t="s">
        <v>271</v>
      </c>
      <c r="F5" s="80"/>
      <c r="H5" s="31"/>
      <c r="I5" s="34" t="s">
        <v>89</v>
      </c>
      <c r="J5" s="84">
        <v>1</v>
      </c>
      <c r="K5" s="84">
        <v>1</v>
      </c>
      <c r="L5" s="84">
        <v>1</v>
      </c>
      <c r="M5" s="81">
        <v>1.23</v>
      </c>
      <c r="N5" s="32" t="s">
        <v>272</v>
      </c>
    </row>
    <row r="6" spans="1:15" x14ac:dyDescent="0.35">
      <c r="A6" s="31"/>
      <c r="B6" s="2"/>
      <c r="F6" s="80"/>
      <c r="H6" s="31"/>
      <c r="I6" s="34" t="s">
        <v>273</v>
      </c>
      <c r="J6" s="84">
        <v>2.9</v>
      </c>
      <c r="K6" s="84">
        <v>26.5</v>
      </c>
      <c r="L6" s="84">
        <v>3.1</v>
      </c>
      <c r="M6" s="81">
        <v>2.5000000000000001E-2</v>
      </c>
      <c r="N6" s="32" t="s">
        <v>88</v>
      </c>
    </row>
    <row r="7" spans="1:15" x14ac:dyDescent="0.35">
      <c r="A7" s="31" t="s">
        <v>90</v>
      </c>
      <c r="B7" s="2"/>
      <c r="F7" s="80"/>
      <c r="H7" s="31"/>
      <c r="I7" s="34" t="s">
        <v>274</v>
      </c>
      <c r="J7" s="84">
        <v>0</v>
      </c>
      <c r="K7" s="84">
        <v>0</v>
      </c>
      <c r="L7" s="84">
        <v>1.05</v>
      </c>
      <c r="M7" s="81">
        <v>7.95</v>
      </c>
      <c r="N7" s="32" t="s">
        <v>275</v>
      </c>
    </row>
    <row r="8" spans="1:15" x14ac:dyDescent="0.35">
      <c r="A8" s="31"/>
      <c r="B8" s="2" t="s">
        <v>11</v>
      </c>
      <c r="C8" s="85">
        <v>155400</v>
      </c>
      <c r="D8" s="86"/>
      <c r="E8" s="86"/>
      <c r="F8" s="80"/>
      <c r="H8" s="31"/>
      <c r="I8" s="34"/>
      <c r="N8" s="80"/>
    </row>
    <row r="9" spans="1:15" x14ac:dyDescent="0.35">
      <c r="A9" s="31"/>
      <c r="B9" s="2" t="s">
        <v>15</v>
      </c>
      <c r="C9" s="85">
        <v>68320</v>
      </c>
      <c r="F9" s="80"/>
      <c r="H9" s="31" t="s">
        <v>276</v>
      </c>
      <c r="I9" s="34"/>
      <c r="J9" s="330" t="s">
        <v>91</v>
      </c>
      <c r="K9" s="330"/>
      <c r="L9" s="330"/>
      <c r="N9" s="80"/>
      <c r="O9" s="87"/>
    </row>
    <row r="10" spans="1:15" x14ac:dyDescent="0.35">
      <c r="A10" s="31"/>
      <c r="B10" s="2" t="s">
        <v>16</v>
      </c>
      <c r="C10" s="85">
        <v>52000</v>
      </c>
      <c r="F10" s="80"/>
      <c r="H10" s="31"/>
      <c r="I10" s="34"/>
      <c r="J10" s="97" t="s">
        <v>12</v>
      </c>
      <c r="K10" s="97" t="s">
        <v>13</v>
      </c>
      <c r="L10" s="97" t="s">
        <v>14</v>
      </c>
      <c r="M10" s="82" t="s">
        <v>277</v>
      </c>
      <c r="N10" s="80"/>
    </row>
    <row r="11" spans="1:15" x14ac:dyDescent="0.35">
      <c r="A11" s="31" t="s">
        <v>278</v>
      </c>
      <c r="B11" s="2"/>
      <c r="F11" s="80"/>
      <c r="H11" s="31"/>
      <c r="I11" s="34" t="s">
        <v>279</v>
      </c>
      <c r="J11" s="84">
        <v>11.1</v>
      </c>
      <c r="K11" s="84">
        <v>12.1</v>
      </c>
      <c r="L11" s="84">
        <v>13.4</v>
      </c>
      <c r="M11" s="81">
        <v>18.100000000000001</v>
      </c>
      <c r="N11" s="80"/>
    </row>
    <row r="12" spans="1:15" x14ac:dyDescent="0.35">
      <c r="A12" s="31"/>
      <c r="B12" s="2" t="s">
        <v>11</v>
      </c>
      <c r="C12" s="88">
        <v>35.200000000000003</v>
      </c>
      <c r="F12" s="80"/>
      <c r="H12" s="31"/>
      <c r="I12" s="34" t="s">
        <v>73</v>
      </c>
      <c r="J12" s="84">
        <v>5.2</v>
      </c>
      <c r="K12" s="84">
        <v>7.2</v>
      </c>
      <c r="L12" s="84">
        <v>8.6</v>
      </c>
      <c r="M12" s="81">
        <v>22.45</v>
      </c>
      <c r="N12" s="80"/>
    </row>
    <row r="13" spans="1:15" x14ac:dyDescent="0.35">
      <c r="A13" s="31"/>
      <c r="B13" s="2" t="s">
        <v>15</v>
      </c>
      <c r="C13" s="88">
        <v>43.5</v>
      </c>
      <c r="F13" s="80"/>
      <c r="H13" s="31"/>
      <c r="I13" s="34" t="s">
        <v>280</v>
      </c>
      <c r="J13" s="84">
        <v>0</v>
      </c>
      <c r="K13" s="84">
        <v>0</v>
      </c>
      <c r="L13" s="84">
        <v>22.5</v>
      </c>
      <c r="M13" s="81">
        <v>27.15</v>
      </c>
      <c r="N13" s="80"/>
    </row>
    <row r="14" spans="1:15" x14ac:dyDescent="0.35">
      <c r="A14" s="31"/>
      <c r="B14" s="2" t="s">
        <v>16</v>
      </c>
      <c r="C14" s="88">
        <v>64.2</v>
      </c>
      <c r="F14" s="80"/>
      <c r="H14" s="31"/>
      <c r="I14" s="34" t="s">
        <v>75</v>
      </c>
      <c r="J14" s="84">
        <v>5.9</v>
      </c>
      <c r="K14" s="84">
        <v>7.5</v>
      </c>
      <c r="L14" s="84">
        <v>8.3000000000000007</v>
      </c>
      <c r="M14" s="81">
        <v>15.24</v>
      </c>
      <c r="N14" s="80"/>
    </row>
    <row r="15" spans="1:15" x14ac:dyDescent="0.35">
      <c r="A15" s="89"/>
      <c r="F15" s="80"/>
      <c r="H15" s="89"/>
      <c r="N15" s="80"/>
    </row>
    <row r="16" spans="1:15" x14ac:dyDescent="0.35">
      <c r="A16" s="89"/>
      <c r="F16" s="80"/>
      <c r="H16" s="318" t="s">
        <v>281</v>
      </c>
      <c r="I16" s="319"/>
      <c r="J16" s="314"/>
      <c r="K16" s="314"/>
      <c r="L16" s="320"/>
      <c r="M16" s="320"/>
      <c r="N16" s="80"/>
    </row>
    <row r="17" spans="1:14" x14ac:dyDescent="0.35">
      <c r="A17" s="89"/>
      <c r="C17" s="90"/>
      <c r="F17" s="80"/>
      <c r="H17" s="315"/>
      <c r="I17" s="319" t="s">
        <v>92</v>
      </c>
      <c r="J17" s="319"/>
      <c r="K17" s="319"/>
      <c r="L17" s="319"/>
      <c r="M17" s="2"/>
      <c r="N17" s="80"/>
    </row>
    <row r="18" spans="1:14" ht="16.2" thickBot="1" x14ac:dyDescent="0.4">
      <c r="A18" s="91"/>
      <c r="B18" s="92"/>
      <c r="C18" s="92"/>
      <c r="D18" s="92"/>
      <c r="E18" s="92"/>
      <c r="F18" s="93"/>
      <c r="H18" s="89"/>
      <c r="J18" s="94"/>
      <c r="K18" s="97" t="s">
        <v>12</v>
      </c>
      <c r="L18" s="97" t="s">
        <v>13</v>
      </c>
      <c r="M18" s="97" t="s">
        <v>14</v>
      </c>
      <c r="N18" s="80"/>
    </row>
    <row r="19" spans="1:14" x14ac:dyDescent="0.35">
      <c r="A19" s="95"/>
      <c r="B19" s="96"/>
      <c r="C19" s="96"/>
      <c r="D19" s="96"/>
      <c r="E19" s="96"/>
      <c r="H19" s="331" t="s">
        <v>77</v>
      </c>
      <c r="I19" s="332"/>
      <c r="J19" s="332"/>
      <c r="K19" s="84">
        <v>8.0399999999999991</v>
      </c>
      <c r="L19" s="84">
        <v>8.0500000000000007</v>
      </c>
      <c r="M19" s="84">
        <v>13.1</v>
      </c>
      <c r="N19" s="80"/>
    </row>
    <row r="20" spans="1:14" x14ac:dyDescent="0.35">
      <c r="A20" s="24" t="s">
        <v>93</v>
      </c>
      <c r="B20" s="25"/>
      <c r="C20" s="26"/>
      <c r="D20" s="26"/>
      <c r="E20" s="26"/>
      <c r="F20" s="27"/>
      <c r="H20" s="333" t="s">
        <v>78</v>
      </c>
      <c r="I20" s="334"/>
      <c r="J20" s="334"/>
      <c r="K20" s="98">
        <v>4.9400000000000004</v>
      </c>
      <c r="L20" s="98">
        <v>9.85</v>
      </c>
      <c r="M20" s="98">
        <v>8.1</v>
      </c>
      <c r="N20" s="93"/>
    </row>
    <row r="21" spans="1:14" x14ac:dyDescent="0.35">
      <c r="A21" s="31"/>
      <c r="B21" s="2"/>
      <c r="C21" s="54" t="s">
        <v>94</v>
      </c>
      <c r="D21" s="54" t="s">
        <v>282</v>
      </c>
      <c r="E21" s="55" t="s">
        <v>283</v>
      </c>
      <c r="F21" s="56" t="s">
        <v>85</v>
      </c>
      <c r="G21" s="99"/>
    </row>
    <row r="22" spans="1:14" x14ac:dyDescent="0.35">
      <c r="A22" s="57" t="s">
        <v>96</v>
      </c>
      <c r="B22" s="100"/>
      <c r="C22" s="101"/>
      <c r="D22" s="101"/>
      <c r="E22" s="101"/>
      <c r="F22" s="102"/>
      <c r="G22" s="101"/>
      <c r="H22" s="24" t="s">
        <v>97</v>
      </c>
      <c r="I22" s="103"/>
      <c r="J22" s="103"/>
      <c r="K22" s="103"/>
      <c r="L22" s="103"/>
      <c r="M22" s="104"/>
    </row>
    <row r="23" spans="1:14" x14ac:dyDescent="0.35">
      <c r="A23" s="105" t="str">
        <f>I4</f>
        <v>布料（尺）</v>
      </c>
      <c r="B23" s="34" t="s">
        <v>17</v>
      </c>
      <c r="C23" s="101">
        <v>53547.662499999999</v>
      </c>
      <c r="D23" s="101">
        <v>945640</v>
      </c>
      <c r="E23" s="101">
        <f>$D$30*J4+$D$31*K4+$D$32*L4</f>
        <v>933733.5</v>
      </c>
      <c r="F23" s="102">
        <f>C23+D23-E23</f>
        <v>65454.162499999977</v>
      </c>
      <c r="G23" s="106"/>
      <c r="H23" s="31" t="s">
        <v>284</v>
      </c>
      <c r="M23" s="107"/>
    </row>
    <row r="24" spans="1:14" x14ac:dyDescent="0.35">
      <c r="A24" s="105" t="str">
        <f>I5</f>
        <v>拉链、铆钉（套）</v>
      </c>
      <c r="B24" s="34" t="s">
        <v>18</v>
      </c>
      <c r="C24" s="101">
        <v>16424.125</v>
      </c>
      <c r="D24" s="101">
        <v>285432</v>
      </c>
      <c r="E24" s="101">
        <f>$D$30*J5+$D$31*K5+$D$32*L5</f>
        <v>284904</v>
      </c>
      <c r="F24" s="102">
        <f>C24+D24-E24</f>
        <v>16952.125</v>
      </c>
      <c r="G24" s="106"/>
      <c r="H24" s="31"/>
      <c r="I24" s="90">
        <v>540400</v>
      </c>
      <c r="M24" s="107"/>
    </row>
    <row r="25" spans="1:14" x14ac:dyDescent="0.35">
      <c r="A25" s="105" t="str">
        <f>I6</f>
        <v>刺绣针线（尺）</v>
      </c>
      <c r="B25" s="34" t="s">
        <v>19</v>
      </c>
      <c r="C25" s="101">
        <v>145560.375</v>
      </c>
      <c r="D25" s="101">
        <v>2502400</v>
      </c>
      <c r="E25" s="101">
        <f>$D$30*J6+$D$31*K6+$D$32*L6</f>
        <v>2458429.2000000002</v>
      </c>
      <c r="F25" s="102">
        <f>C25+D25-E25</f>
        <v>189531.17499999981</v>
      </c>
      <c r="G25" s="106"/>
      <c r="H25" s="31" t="s">
        <v>99</v>
      </c>
      <c r="M25" s="107"/>
    </row>
    <row r="26" spans="1:14" x14ac:dyDescent="0.35">
      <c r="A26" s="105" t="str">
        <f>I7</f>
        <v>亮片饰物（套）</v>
      </c>
      <c r="B26" s="34" t="s">
        <v>20</v>
      </c>
      <c r="C26" s="101">
        <v>2632.875</v>
      </c>
      <c r="D26" s="101">
        <v>52975</v>
      </c>
      <c r="E26" s="101">
        <f>$D$30*J7+$D$31*K7+$D$32*L7</f>
        <v>56912.100000000006</v>
      </c>
      <c r="F26" s="102">
        <f>C26+D26-E26</f>
        <v>-1304.2250000000058</v>
      </c>
      <c r="G26" s="106"/>
      <c r="H26" s="89"/>
      <c r="I26" s="90">
        <v>54520</v>
      </c>
      <c r="J26" s="42" t="s">
        <v>100</v>
      </c>
      <c r="M26" s="107"/>
    </row>
    <row r="27" spans="1:14" x14ac:dyDescent="0.35">
      <c r="A27" s="89"/>
      <c r="F27" s="80"/>
      <c r="H27" s="89"/>
      <c r="I27" s="90">
        <v>69900</v>
      </c>
      <c r="J27" s="2" t="s">
        <v>101</v>
      </c>
      <c r="M27" s="107"/>
    </row>
    <row r="28" spans="1:14" x14ac:dyDescent="0.35">
      <c r="A28" s="31"/>
      <c r="B28" s="2"/>
      <c r="C28" s="54" t="s">
        <v>285</v>
      </c>
      <c r="D28" s="54" t="s">
        <v>286</v>
      </c>
      <c r="E28" s="64" t="s">
        <v>84</v>
      </c>
      <c r="F28" s="65" t="s">
        <v>85</v>
      </c>
      <c r="G28" s="108"/>
      <c r="H28" s="89"/>
      <c r="I28" s="90">
        <v>112454</v>
      </c>
      <c r="J28" s="2" t="s">
        <v>103</v>
      </c>
      <c r="M28" s="107"/>
    </row>
    <row r="29" spans="1:14" x14ac:dyDescent="0.35">
      <c r="A29" s="66" t="s">
        <v>287</v>
      </c>
      <c r="B29" s="42"/>
      <c r="C29" s="2"/>
      <c r="D29" s="2"/>
      <c r="E29" s="2"/>
      <c r="F29" s="32"/>
      <c r="H29" s="91"/>
      <c r="I29" s="109">
        <v>3.1616768052742401</v>
      </c>
      <c r="J29" s="68" t="s">
        <v>105</v>
      </c>
      <c r="K29" s="92"/>
      <c r="L29" s="92"/>
      <c r="M29" s="110"/>
    </row>
    <row r="30" spans="1:14" x14ac:dyDescent="0.35">
      <c r="A30" s="111" t="str">
        <f>B8</f>
        <v>BBJ:</v>
      </c>
      <c r="C30" s="101">
        <v>5850</v>
      </c>
      <c r="D30" s="101">
        <v>162000</v>
      </c>
      <c r="E30" s="101">
        <f>C8</f>
        <v>155400</v>
      </c>
      <c r="F30" s="102">
        <f>C30+D30-E30</f>
        <v>12450</v>
      </c>
      <c r="G30" s="101"/>
      <c r="M30" s="79"/>
    </row>
    <row r="31" spans="1:14" x14ac:dyDescent="0.35">
      <c r="A31" s="111" t="str">
        <f>B9</f>
        <v>EBJ:</v>
      </c>
      <c r="C31" s="101">
        <v>2400</v>
      </c>
      <c r="D31" s="101">
        <v>68702</v>
      </c>
      <c r="E31" s="101">
        <f>C9</f>
        <v>68320</v>
      </c>
      <c r="F31" s="102">
        <f>C31+D31-E31</f>
        <v>2782</v>
      </c>
      <c r="G31" s="101"/>
      <c r="H31" s="24" t="s">
        <v>288</v>
      </c>
      <c r="I31" s="25"/>
      <c r="J31" s="103"/>
      <c r="K31" s="103"/>
      <c r="L31" s="103"/>
      <c r="M31" s="104"/>
    </row>
    <row r="32" spans="1:14" x14ac:dyDescent="0.35">
      <c r="A32" s="111" t="str">
        <f>B10</f>
        <v>JBJ:</v>
      </c>
      <c r="C32" s="101">
        <v>1575</v>
      </c>
      <c r="D32" s="101">
        <v>54202</v>
      </c>
      <c r="E32" s="101">
        <f>C10</f>
        <v>52000</v>
      </c>
      <c r="F32" s="102">
        <f>C32+D32-E32</f>
        <v>3777</v>
      </c>
      <c r="G32" s="101"/>
      <c r="H32" s="31" t="s">
        <v>106</v>
      </c>
      <c r="I32" s="2"/>
      <c r="M32" s="107"/>
    </row>
    <row r="33" spans="1:13" x14ac:dyDescent="0.35">
      <c r="A33" s="91"/>
      <c r="B33" s="92"/>
      <c r="C33" s="92"/>
      <c r="D33" s="92"/>
      <c r="E33" s="92"/>
      <c r="F33" s="93"/>
      <c r="H33" s="31"/>
      <c r="I33" s="2" t="s">
        <v>107</v>
      </c>
      <c r="J33" s="112">
        <v>2.8000000000000001E-2</v>
      </c>
      <c r="K33" s="2" t="s">
        <v>289</v>
      </c>
      <c r="L33" s="79" t="s">
        <v>290</v>
      </c>
      <c r="M33" s="107"/>
    </row>
    <row r="34" spans="1:13" ht="16.2" thickBot="1" x14ac:dyDescent="0.4">
      <c r="A34" s="89"/>
      <c r="H34" s="31"/>
      <c r="I34" s="2" t="s">
        <v>110</v>
      </c>
      <c r="J34" s="113">
        <v>0.03</v>
      </c>
      <c r="K34" s="2" t="s">
        <v>108</v>
      </c>
      <c r="M34" s="107"/>
    </row>
    <row r="35" spans="1:13" ht="15" customHeight="1" x14ac:dyDescent="0.35">
      <c r="A35" s="321" t="s">
        <v>291</v>
      </c>
      <c r="B35" s="324" t="s">
        <v>292</v>
      </c>
      <c r="C35" s="324"/>
      <c r="D35" s="324"/>
      <c r="E35" s="324"/>
      <c r="F35" s="325"/>
      <c r="H35" s="31"/>
      <c r="I35" s="2" t="s">
        <v>112</v>
      </c>
      <c r="J35" s="112">
        <v>1.4E-2</v>
      </c>
      <c r="K35" s="2" t="s">
        <v>108</v>
      </c>
      <c r="M35" s="107"/>
    </row>
    <row r="36" spans="1:13" x14ac:dyDescent="0.35">
      <c r="A36" s="322"/>
      <c r="B36" s="326"/>
      <c r="C36" s="326"/>
      <c r="D36" s="326"/>
      <c r="E36" s="326"/>
      <c r="F36" s="327"/>
      <c r="H36" s="31" t="s">
        <v>293</v>
      </c>
      <c r="I36" s="2"/>
      <c r="M36" s="80"/>
    </row>
    <row r="37" spans="1:13" ht="16.2" thickBot="1" x14ac:dyDescent="0.4">
      <c r="A37" s="323"/>
      <c r="B37" s="328"/>
      <c r="C37" s="328"/>
      <c r="D37" s="328"/>
      <c r="E37" s="328"/>
      <c r="F37" s="329"/>
      <c r="H37" s="89"/>
      <c r="I37" s="90">
        <v>77500.45</v>
      </c>
      <c r="J37" s="2" t="s">
        <v>294</v>
      </c>
      <c r="M37" s="80"/>
    </row>
    <row r="38" spans="1:13" x14ac:dyDescent="0.35">
      <c r="H38" s="89"/>
      <c r="I38" s="90">
        <v>302000</v>
      </c>
      <c r="J38" s="2" t="s">
        <v>101</v>
      </c>
      <c r="M38" s="80"/>
    </row>
    <row r="39" spans="1:13" x14ac:dyDescent="0.35">
      <c r="H39" s="89"/>
      <c r="I39" s="90">
        <v>165402.34</v>
      </c>
      <c r="J39" s="2" t="s">
        <v>113</v>
      </c>
      <c r="M39" s="80"/>
    </row>
    <row r="40" spans="1:13" ht="16.2" thickBot="1" x14ac:dyDescent="0.4">
      <c r="C40" s="100"/>
      <c r="D40" s="114"/>
      <c r="H40" s="91"/>
      <c r="I40" s="115"/>
      <c r="J40" s="92"/>
      <c r="K40" s="92"/>
      <c r="L40" s="92"/>
      <c r="M40" s="93"/>
    </row>
    <row r="42" spans="1:13" x14ac:dyDescent="0.35">
      <c r="A42" s="116"/>
    </row>
    <row r="44" spans="1:13" x14ac:dyDescent="0.35">
      <c r="A44" s="117"/>
      <c r="D44" s="117"/>
    </row>
    <row r="45" spans="1:13" x14ac:dyDescent="0.35">
      <c r="B45" s="100"/>
      <c r="C45" s="101"/>
      <c r="F45" s="100"/>
    </row>
    <row r="46" spans="1:13" x14ac:dyDescent="0.35">
      <c r="B46" s="101"/>
      <c r="C46" s="101"/>
      <c r="F46" s="100"/>
    </row>
    <row r="47" spans="1:13" x14ac:dyDescent="0.35">
      <c r="B47" s="101"/>
      <c r="C47" s="101"/>
      <c r="F47" s="100"/>
    </row>
    <row r="48" spans="1:13" x14ac:dyDescent="0.35">
      <c r="C48" s="101"/>
      <c r="F48" s="118"/>
    </row>
    <row r="49" spans="1:10" x14ac:dyDescent="0.35">
      <c r="C49" s="101"/>
      <c r="F49" s="88"/>
    </row>
    <row r="50" spans="1:10" x14ac:dyDescent="0.35">
      <c r="C50" s="101"/>
    </row>
    <row r="51" spans="1:10" x14ac:dyDescent="0.35">
      <c r="C51" s="101"/>
    </row>
    <row r="52" spans="1:10" x14ac:dyDescent="0.35">
      <c r="C52" s="101"/>
    </row>
    <row r="53" spans="1:10" x14ac:dyDescent="0.35">
      <c r="C53" s="118"/>
    </row>
    <row r="55" spans="1:10" x14ac:dyDescent="0.35">
      <c r="A55" s="117"/>
      <c r="C55" s="117"/>
    </row>
    <row r="56" spans="1:10" x14ac:dyDescent="0.35">
      <c r="B56" s="118"/>
    </row>
    <row r="57" spans="1:10" x14ac:dyDescent="0.35">
      <c r="B57" s="118"/>
      <c r="J57" s="119"/>
    </row>
    <row r="58" spans="1:10" x14ac:dyDescent="0.35">
      <c r="B58" s="118"/>
      <c r="D58" s="120"/>
      <c r="E58" s="119"/>
      <c r="F58" s="119"/>
      <c r="J58" s="119"/>
    </row>
    <row r="59" spans="1:10" x14ac:dyDescent="0.35">
      <c r="B59" s="119"/>
      <c r="D59" s="120"/>
      <c r="E59" s="119"/>
      <c r="F59" s="119"/>
    </row>
    <row r="60" spans="1:10" x14ac:dyDescent="0.35">
      <c r="B60" s="118"/>
      <c r="D60" s="120"/>
      <c r="E60" s="119"/>
      <c r="F60" s="119"/>
    </row>
    <row r="61" spans="1:10" x14ac:dyDescent="0.35">
      <c r="B61" s="118"/>
      <c r="E61" s="100"/>
      <c r="F61" s="100"/>
    </row>
    <row r="62" spans="1:10" x14ac:dyDescent="0.35">
      <c r="E62" s="101"/>
      <c r="F62" s="101"/>
    </row>
    <row r="63" spans="1:10" x14ac:dyDescent="0.35">
      <c r="D63" s="119"/>
      <c r="E63" s="101"/>
      <c r="F63" s="101"/>
    </row>
    <row r="64" spans="1:10" x14ac:dyDescent="0.35">
      <c r="D64" s="119"/>
      <c r="E64" s="101"/>
      <c r="F64" s="101"/>
    </row>
  </sheetData>
  <mergeCells count="8">
    <mergeCell ref="J9:L9"/>
    <mergeCell ref="H19:J19"/>
    <mergeCell ref="H20:J20"/>
    <mergeCell ref="A35:A37"/>
    <mergeCell ref="B35:F37"/>
    <mergeCell ref="H16:I16"/>
    <mergeCell ref="L16:M16"/>
    <mergeCell ref="I17:L17"/>
  </mergeCells>
  <phoneticPr fontId="2" type="noConversion"/>
  <pageMargins left="0.7" right="0.7" top="0.75" bottom="0.75" header="0.3" footer="0.3"/>
  <pageSetup orientation="portrait"/>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9"/>
  <sheetViews>
    <sheetView zoomScale="70" zoomScaleNormal="70" workbookViewId="0">
      <selection activeCell="L30" sqref="L30"/>
    </sheetView>
  </sheetViews>
  <sheetFormatPr defaultColWidth="9.109375" defaultRowHeight="15.6" x14ac:dyDescent="0.35"/>
  <cols>
    <col min="1" max="1" width="19.109375" style="2" customWidth="1"/>
    <col min="2" max="4" width="15.77734375" style="165" customWidth="1"/>
    <col min="5" max="5" width="2.77734375" style="2" customWidth="1"/>
    <col min="6" max="6" width="11.44140625" style="2" customWidth="1"/>
    <col min="7" max="7" width="12.6640625" style="2" customWidth="1"/>
    <col min="8" max="8" width="15.33203125" style="2" customWidth="1"/>
    <col min="9" max="9" width="15.109375" style="2" customWidth="1"/>
    <col min="10" max="10" width="13.21875" style="2" customWidth="1"/>
    <col min="11" max="11" width="9.88671875" style="2" customWidth="1"/>
    <col min="12" max="12" width="15.109375" style="2" customWidth="1"/>
    <col min="13" max="16384" width="9.109375" style="2"/>
  </cols>
  <sheetData>
    <row r="1" spans="1:14" x14ac:dyDescent="0.35">
      <c r="A1" s="24" t="s">
        <v>327</v>
      </c>
      <c r="B1" s="121"/>
      <c r="C1" s="121"/>
      <c r="D1" s="122"/>
      <c r="F1" s="123" t="s">
        <v>119</v>
      </c>
      <c r="G1" s="124"/>
      <c r="H1" s="124"/>
      <c r="I1" s="124"/>
      <c r="J1" s="124"/>
      <c r="K1" s="124"/>
      <c r="L1" s="125"/>
    </row>
    <row r="2" spans="1:14" s="128" customFormat="1" x14ac:dyDescent="0.35">
      <c r="A2" s="57"/>
      <c r="B2" s="126"/>
      <c r="C2" s="126"/>
      <c r="D2" s="127"/>
      <c r="F2" s="129"/>
      <c r="G2" s="130"/>
      <c r="H2" s="130"/>
      <c r="I2" s="130"/>
      <c r="J2" s="130"/>
      <c r="K2" s="130"/>
      <c r="L2" s="131"/>
    </row>
    <row r="3" spans="1:14" s="128" customFormat="1" ht="15" customHeight="1" x14ac:dyDescent="0.35">
      <c r="A3" s="31"/>
      <c r="B3" s="132" t="s">
        <v>295</v>
      </c>
      <c r="C3" s="132" t="s">
        <v>296</v>
      </c>
      <c r="D3" s="133" t="s">
        <v>297</v>
      </c>
      <c r="F3" s="129"/>
      <c r="G3" s="338" t="s">
        <v>328</v>
      </c>
      <c r="H3" s="338" t="s">
        <v>298</v>
      </c>
      <c r="I3" s="339" t="s">
        <v>299</v>
      </c>
      <c r="J3" s="338" t="s">
        <v>329</v>
      </c>
      <c r="K3" s="339" t="s">
        <v>300</v>
      </c>
      <c r="L3" s="340" t="s">
        <v>301</v>
      </c>
    </row>
    <row r="4" spans="1:14" s="128" customFormat="1" ht="15" customHeight="1" x14ac:dyDescent="0.35">
      <c r="A4" s="57" t="s">
        <v>302</v>
      </c>
      <c r="B4" s="134"/>
      <c r="C4" s="134"/>
      <c r="D4" s="135"/>
      <c r="F4" s="129"/>
      <c r="G4" s="338"/>
      <c r="H4" s="338"/>
      <c r="I4" s="339"/>
      <c r="J4" s="338"/>
      <c r="K4" s="339"/>
      <c r="L4" s="340"/>
    </row>
    <row r="5" spans="1:14" s="138" customFormat="1" x14ac:dyDescent="0.35">
      <c r="A5" s="31" t="s">
        <v>303</v>
      </c>
      <c r="B5" s="136">
        <f>SUMPRODUCT(预算数据!C23:C26,预算数据!M4:M7)</f>
        <v>367245.9425</v>
      </c>
      <c r="C5" s="2"/>
      <c r="D5" s="137">
        <f>SUMPRODUCT(预算数据!C23:C26,预算数据!M4:M7)</f>
        <v>367245.9425</v>
      </c>
      <c r="F5" s="139"/>
      <c r="G5" s="338"/>
      <c r="H5" s="338"/>
      <c r="I5" s="339"/>
      <c r="J5" s="338"/>
      <c r="K5" s="339"/>
      <c r="L5" s="340"/>
    </row>
    <row r="6" spans="1:14" x14ac:dyDescent="0.35">
      <c r="A6" s="31" t="s">
        <v>246</v>
      </c>
      <c r="B6" s="136">
        <f>SUMPRODUCT(预算数据!D23:D26,预算数据!M4:M7)</f>
        <v>6084848.1345936712</v>
      </c>
      <c r="C6" s="2"/>
      <c r="D6" s="137">
        <f>SUMPRODUCT(实际数据!D23:D26,实际数据!M4:M7)</f>
        <v>6555914.6100000003</v>
      </c>
      <c r="F6" s="139"/>
      <c r="G6" s="338"/>
      <c r="H6" s="338"/>
      <c r="I6" s="339"/>
      <c r="J6" s="338"/>
      <c r="K6" s="339"/>
      <c r="L6" s="340"/>
    </row>
    <row r="7" spans="1:14" x14ac:dyDescent="0.35">
      <c r="A7" s="31" t="s">
        <v>304</v>
      </c>
      <c r="B7" s="140">
        <f>SUMPRODUCT(预算数据!F23:F26,预算数据!M4:M7)</f>
        <v>397518.81879151077</v>
      </c>
      <c r="C7" s="2"/>
      <c r="D7" s="141">
        <f>SUMPRODUCT(实际数据!F23:F26,预算数据!M4:M7)</f>
        <v>409167.26649999979</v>
      </c>
      <c r="F7" s="142"/>
      <c r="G7" s="338"/>
      <c r="H7" s="338"/>
      <c r="I7" s="339"/>
      <c r="J7" s="338"/>
      <c r="K7" s="339"/>
      <c r="L7" s="340"/>
      <c r="N7" s="74"/>
    </row>
    <row r="8" spans="1:14" x14ac:dyDescent="0.35">
      <c r="A8" s="143" t="s">
        <v>305</v>
      </c>
      <c r="B8" s="136">
        <f>B5+B6-B7</f>
        <v>6054575.2583021605</v>
      </c>
      <c r="C8" s="2"/>
      <c r="D8" s="137">
        <f>D5+D6-D7</f>
        <v>6513993.2860000003</v>
      </c>
      <c r="F8" s="144" t="str">
        <f>预算数据!A30</f>
        <v>BBJ:</v>
      </c>
      <c r="G8" s="145">
        <f>SUMPRODUCT(预算数据!J4:J7,预算数据!M$4:M$7)</f>
        <v>20.540000000000003</v>
      </c>
      <c r="H8" s="145">
        <f>SUMPRODUCT(预算数据!J11:J14,预算数据!M$11:M$14)/60</f>
        <v>6.6333333333333337</v>
      </c>
      <c r="I8" s="145">
        <f>(预算数据!K19+预算数据!K20)*预算数据!I$24/60</f>
        <v>1.5166666666666666</v>
      </c>
      <c r="J8" s="146">
        <f>SUM(G8:I8)</f>
        <v>28.69</v>
      </c>
      <c r="K8" s="145">
        <f>I8*预算数据!$I29/7</f>
        <v>0.68502997447608538</v>
      </c>
      <c r="L8" s="147">
        <f>J8+K8</f>
        <v>29.375029974476085</v>
      </c>
    </row>
    <row r="9" spans="1:14" x14ac:dyDescent="0.35">
      <c r="A9" s="31"/>
      <c r="B9" s="58"/>
      <c r="C9" s="58"/>
      <c r="D9" s="148"/>
      <c r="F9" s="144" t="str">
        <f>预算数据!A31</f>
        <v>EBJ:</v>
      </c>
      <c r="G9" s="145">
        <f>SUMPRODUCT(预算数据!K4:K7,预算数据!M$4:M$7)</f>
        <v>21.56</v>
      </c>
      <c r="H9" s="145">
        <f>SUMPRODUCT(预算数据!K11:K14,预算数据!M$11:M$14)/60</f>
        <v>8.1666666666666661</v>
      </c>
      <c r="I9" s="145">
        <f>(预算数据!L19+预算数据!L20)*预算数据!I$24/60</f>
        <v>2.2166666666666668</v>
      </c>
      <c r="J9" s="146">
        <f>SUM(G9:I9)</f>
        <v>31.943333333333335</v>
      </c>
      <c r="K9" s="145">
        <f>I9*预算数据!I29/7</f>
        <v>1.0011976550035093</v>
      </c>
      <c r="L9" s="147">
        <f>J9+K9</f>
        <v>32.944530988336844</v>
      </c>
    </row>
    <row r="10" spans="1:14" x14ac:dyDescent="0.35">
      <c r="A10" s="57" t="s">
        <v>306</v>
      </c>
      <c r="B10" s="58"/>
      <c r="C10" s="58"/>
      <c r="D10" s="148"/>
      <c r="F10" s="149" t="str">
        <f>预算数据!A32</f>
        <v>JBJ:</v>
      </c>
      <c r="G10" s="150">
        <f>SUMPRODUCT(预算数据!L4:L7,预算数据!M$4:M$7)</f>
        <v>30.34</v>
      </c>
      <c r="H10" s="150">
        <f>SUMPRODUCT(预算数据!L11:L14,预算数据!M$11:M$14)/60</f>
        <v>17.733333333333334</v>
      </c>
      <c r="I10" s="150">
        <f>(预算数据!M19+预算数据!M20)*预算数据!I$24/60</f>
        <v>2.4500000000000002</v>
      </c>
      <c r="J10" s="151">
        <f>SUM(G10:I10)</f>
        <v>50.523333333333341</v>
      </c>
      <c r="K10" s="150">
        <f>I10*预算数据!I29/7</f>
        <v>1.1065868818459841</v>
      </c>
      <c r="L10" s="152">
        <f>J10+K10</f>
        <v>51.629920215179325</v>
      </c>
    </row>
    <row r="11" spans="1:14" x14ac:dyDescent="0.35">
      <c r="A11" s="31" t="s">
        <v>307</v>
      </c>
      <c r="B11" s="136">
        <v>0</v>
      </c>
      <c r="C11" s="136">
        <v>0</v>
      </c>
      <c r="D11" s="137">
        <v>0</v>
      </c>
    </row>
    <row r="12" spans="1:14" x14ac:dyDescent="0.35">
      <c r="A12" s="31" t="s">
        <v>330</v>
      </c>
      <c r="B12" s="136">
        <f>B8</f>
        <v>6054575.2583021605</v>
      </c>
      <c r="C12" s="136">
        <f>SUMPRODUCT(差异计算!F40:F43,差异计算!M40:M43)</f>
        <v>6453183.7999999998</v>
      </c>
      <c r="D12" s="137">
        <f>D8</f>
        <v>6513993.2860000003</v>
      </c>
      <c r="F12" s="123" t="s">
        <v>308</v>
      </c>
      <c r="G12" s="153"/>
      <c r="H12" s="153"/>
      <c r="I12" s="153"/>
      <c r="J12" s="153"/>
      <c r="K12" s="153"/>
      <c r="L12" s="154"/>
    </row>
    <row r="13" spans="1:14" x14ac:dyDescent="0.35">
      <c r="A13" s="31" t="s">
        <v>331</v>
      </c>
      <c r="B13" s="136">
        <f>销售成本计算!B36</f>
        <v>2379376.9584002667</v>
      </c>
      <c r="C13" s="136">
        <f>SUMPRODUCT(差异计算!F58:F61,差异计算!M58:M61)</f>
        <v>2596848.4666666668</v>
      </c>
      <c r="D13" s="137">
        <f>L20</f>
        <v>2726790.7708999999</v>
      </c>
      <c r="F13" s="129"/>
      <c r="G13" s="23"/>
      <c r="H13" s="23"/>
      <c r="I13" s="23"/>
      <c r="J13" s="23"/>
      <c r="K13" s="23"/>
      <c r="L13" s="155"/>
    </row>
    <row r="14" spans="1:14" x14ac:dyDescent="0.35">
      <c r="A14" s="31" t="s">
        <v>322</v>
      </c>
      <c r="B14" s="136">
        <f>销售成本计算!B37</f>
        <v>497489.1795948667</v>
      </c>
      <c r="C14" s="136">
        <f>SUMPRODUCT(差异计算!F67:F68,差异计算!M67:M68)</f>
        <v>530784.33333333337</v>
      </c>
      <c r="D14" s="137">
        <f>实际数据!I24</f>
        <v>540400</v>
      </c>
      <c r="F14" s="129"/>
      <c r="G14" s="338" t="s">
        <v>310</v>
      </c>
      <c r="H14" s="338" t="s">
        <v>311</v>
      </c>
      <c r="I14" s="338" t="s">
        <v>121</v>
      </c>
      <c r="J14" s="338" t="s">
        <v>312</v>
      </c>
      <c r="K14" s="338" t="s">
        <v>332</v>
      </c>
      <c r="L14" s="340" t="s">
        <v>313</v>
      </c>
    </row>
    <row r="15" spans="1:14" x14ac:dyDescent="0.35">
      <c r="A15" s="31" t="s">
        <v>333</v>
      </c>
      <c r="B15" s="140">
        <v>0</v>
      </c>
      <c r="C15" s="140">
        <v>0</v>
      </c>
      <c r="D15" s="141">
        <v>0</v>
      </c>
      <c r="F15" s="139"/>
      <c r="G15" s="338"/>
      <c r="H15" s="338"/>
      <c r="I15" s="338"/>
      <c r="J15" s="338"/>
      <c r="K15" s="338"/>
      <c r="L15" s="340"/>
    </row>
    <row r="16" spans="1:14" x14ac:dyDescent="0.35">
      <c r="A16" s="143" t="s">
        <v>316</v>
      </c>
      <c r="B16" s="136">
        <f>SUM(B12:B14)</f>
        <v>8931441.3962972946</v>
      </c>
      <c r="C16" s="136">
        <f>SUM(C12:C14)</f>
        <v>9580816.5999999996</v>
      </c>
      <c r="D16" s="137">
        <f>SUM(D12:D14)</f>
        <v>9781184.0569000002</v>
      </c>
      <c r="F16" s="139" t="str">
        <f>实际数据!I11</f>
        <v>裁减</v>
      </c>
      <c r="G16" s="156">
        <f>实际数据!D$30*实际数据!J11</f>
        <v>1798200</v>
      </c>
      <c r="H16" s="156">
        <f>实际数据!D$31*实际数据!K11</f>
        <v>831294.2</v>
      </c>
      <c r="I16" s="156">
        <f>实际数据!D$32*实际数据!L11</f>
        <v>726306.8</v>
      </c>
      <c r="J16" s="157">
        <f>SUM(G16:I16)</f>
        <v>3355801</v>
      </c>
      <c r="K16" s="145">
        <f>实际数据!M11</f>
        <v>18.100000000000001</v>
      </c>
      <c r="L16" s="137">
        <f>J16*K16/60</f>
        <v>1012333.3016666666</v>
      </c>
    </row>
    <row r="17" spans="1:12" x14ac:dyDescent="0.35">
      <c r="A17" s="31"/>
      <c r="B17" s="58"/>
      <c r="C17" s="58"/>
      <c r="D17" s="148"/>
      <c r="F17" s="139" t="str">
        <f>实际数据!I12</f>
        <v>刺绣</v>
      </c>
      <c r="G17" s="156">
        <f>实际数据!D$30*实际数据!J12</f>
        <v>842400</v>
      </c>
      <c r="H17" s="156">
        <f>实际数据!D$31*实际数据!K12</f>
        <v>494654.4</v>
      </c>
      <c r="I17" s="156">
        <f>实际数据!D$32*实际数据!L12</f>
        <v>466137.19999999995</v>
      </c>
      <c r="J17" s="157">
        <f>SUM(G17:I17)</f>
        <v>1803191.5999999999</v>
      </c>
      <c r="K17" s="145">
        <f>实际数据!M12</f>
        <v>22.45</v>
      </c>
      <c r="L17" s="137">
        <f>J17*K17/60</f>
        <v>674694.19033333322</v>
      </c>
    </row>
    <row r="18" spans="1:12" x14ac:dyDescent="0.35">
      <c r="A18" s="57" t="s">
        <v>315</v>
      </c>
      <c r="B18" s="126"/>
      <c r="C18" s="126"/>
      <c r="D18" s="127"/>
      <c r="F18" s="139" t="str">
        <f>实际数据!I13</f>
        <v>装饰</v>
      </c>
      <c r="G18" s="156">
        <f>实际数据!D$30*实际数据!J13</f>
        <v>0</v>
      </c>
      <c r="H18" s="156">
        <f>实际数据!D$31*实际数据!K13</f>
        <v>0</v>
      </c>
      <c r="I18" s="156">
        <f>实际数据!D$32*实际数据!L13</f>
        <v>1219545</v>
      </c>
      <c r="J18" s="157">
        <f>SUM(G18:I18)</f>
        <v>1219545</v>
      </c>
      <c r="K18" s="145">
        <f>实际数据!M13</f>
        <v>27.15</v>
      </c>
      <c r="L18" s="137">
        <f>J18*K18/60</f>
        <v>551844.11250000005</v>
      </c>
    </row>
    <row r="19" spans="1:12" x14ac:dyDescent="0.35">
      <c r="A19" s="31" t="s">
        <v>116</v>
      </c>
      <c r="B19" s="136">
        <f>预算数据!C30*销售成本计算!J8+预算数据!C31*销售成本计算!J9+预算数据!C32*销售成本计算!J10</f>
        <v>324074.75</v>
      </c>
      <c r="C19" s="136">
        <f>B19</f>
        <v>324074.75</v>
      </c>
      <c r="D19" s="137">
        <f>B19</f>
        <v>324074.75</v>
      </c>
      <c r="F19" s="139" t="str">
        <f>实际数据!I14</f>
        <v>组装</v>
      </c>
      <c r="G19" s="156">
        <f>实际数据!D$30*实际数据!J14</f>
        <v>955800</v>
      </c>
      <c r="H19" s="156">
        <f>实际数据!D$31*实际数据!K14</f>
        <v>515265</v>
      </c>
      <c r="I19" s="156">
        <f>实际数据!D$32*实际数据!L14</f>
        <v>449876.60000000003</v>
      </c>
      <c r="J19" s="157">
        <f>SUM(G19:I19)</f>
        <v>1920941.6</v>
      </c>
      <c r="K19" s="145">
        <f>实际数据!M14</f>
        <v>15.24</v>
      </c>
      <c r="L19" s="137">
        <f>J19*K19/60</f>
        <v>487919.16640000005</v>
      </c>
    </row>
    <row r="20" spans="1:12" x14ac:dyDescent="0.35">
      <c r="A20" s="31" t="s">
        <v>334</v>
      </c>
      <c r="B20" s="136">
        <f>B16</f>
        <v>8931441.3962972946</v>
      </c>
      <c r="C20" s="136">
        <f>C16</f>
        <v>9580816.5999999996</v>
      </c>
      <c r="D20" s="137">
        <f>D16</f>
        <v>9781184.0569000002</v>
      </c>
      <c r="F20" s="158" t="s">
        <v>317</v>
      </c>
      <c r="G20" s="159">
        <f>SUM(G17:G19)</f>
        <v>1798200</v>
      </c>
      <c r="H20" s="159">
        <f>SUM(H17:H19)</f>
        <v>1009919.4</v>
      </c>
      <c r="I20" s="159">
        <f>SUM(I17:I19)</f>
        <v>2135558.7999999998</v>
      </c>
      <c r="J20" s="160">
        <f>SUM(J16:J19)</f>
        <v>8299479.1999999993</v>
      </c>
      <c r="K20" s="161"/>
      <c r="L20" s="162">
        <f>SUM(L16:L19)</f>
        <v>2726790.7708999999</v>
      </c>
    </row>
    <row r="21" spans="1:12" x14ac:dyDescent="0.35">
      <c r="A21" s="31" t="s">
        <v>335</v>
      </c>
      <c r="B21" s="140">
        <f>预算数据!F30*销售成本计算!J8+预算数据!F31*销售成本计算!J9+预算数据!F32*销售成本计算!J10</f>
        <v>350788.93164396001</v>
      </c>
      <c r="C21" s="140">
        <f>D21</f>
        <v>636883.4833333334</v>
      </c>
      <c r="D21" s="141">
        <f>实际数据!F30*销售成本计算!J8+实际数据!F31*销售成本计算!J9+实际数据!F32*销售成本计算!J10</f>
        <v>636883.4833333334</v>
      </c>
    </row>
    <row r="22" spans="1:12" x14ac:dyDescent="0.35">
      <c r="A22" s="163" t="s">
        <v>319</v>
      </c>
      <c r="B22" s="164">
        <f>B19+B20-B21</f>
        <v>8904727.2146533355</v>
      </c>
      <c r="C22" s="164">
        <f>C19+C20-C21</f>
        <v>9268007.8666666672</v>
      </c>
      <c r="D22" s="162">
        <f>D19+D20-D21</f>
        <v>9468375.3235666677</v>
      </c>
      <c r="F22" s="123" t="s">
        <v>336</v>
      </c>
      <c r="G22" s="153"/>
      <c r="H22" s="153"/>
      <c r="I22" s="153"/>
      <c r="J22" s="153"/>
      <c r="K22" s="153"/>
      <c r="L22" s="154"/>
    </row>
    <row r="23" spans="1:12" x14ac:dyDescent="0.35">
      <c r="F23" s="139" t="s">
        <v>337</v>
      </c>
      <c r="G23" s="23"/>
      <c r="H23" s="23"/>
      <c r="I23" s="23"/>
      <c r="J23" s="23"/>
      <c r="K23" s="23"/>
      <c r="L23" s="155"/>
    </row>
    <row r="24" spans="1:12" x14ac:dyDescent="0.35">
      <c r="A24" s="24" t="s">
        <v>117</v>
      </c>
      <c r="B24" s="25"/>
      <c r="C24" s="25"/>
      <c r="D24" s="122"/>
      <c r="F24" s="139" t="s">
        <v>338</v>
      </c>
      <c r="G24" s="23"/>
      <c r="H24" s="23"/>
      <c r="I24" s="23"/>
      <c r="J24" s="23"/>
      <c r="K24" s="23"/>
      <c r="L24" s="155"/>
    </row>
    <row r="25" spans="1:12" x14ac:dyDescent="0.35">
      <c r="A25" s="57"/>
      <c r="B25" s="70"/>
      <c r="C25" s="70"/>
      <c r="D25" s="127"/>
      <c r="F25" s="139"/>
      <c r="G25" s="23"/>
      <c r="H25" s="23"/>
      <c r="I25" s="23"/>
      <c r="J25" s="23"/>
      <c r="K25" s="23"/>
      <c r="L25" s="155"/>
    </row>
    <row r="26" spans="1:12" x14ac:dyDescent="0.35">
      <c r="A26" s="31"/>
      <c r="B26" s="132" t="s">
        <v>295</v>
      </c>
      <c r="C26" s="132" t="s">
        <v>339</v>
      </c>
      <c r="D26" s="133" t="s">
        <v>297</v>
      </c>
      <c r="F26" s="139" t="s">
        <v>340</v>
      </c>
      <c r="G26" s="23"/>
      <c r="H26" s="23"/>
      <c r="I26" s="23"/>
      <c r="J26" s="23"/>
      <c r="K26" s="23"/>
      <c r="L26" s="155"/>
    </row>
    <row r="27" spans="1:12" x14ac:dyDescent="0.35">
      <c r="A27" s="57" t="s">
        <v>341</v>
      </c>
      <c r="B27" s="58"/>
      <c r="C27" s="2"/>
      <c r="D27" s="148"/>
      <c r="F27" s="139" t="s">
        <v>320</v>
      </c>
      <c r="G27" s="23"/>
      <c r="H27" s="23"/>
      <c r="I27" s="23"/>
      <c r="J27" s="23"/>
      <c r="K27" s="23"/>
      <c r="L27" s="155"/>
    </row>
    <row r="28" spans="1:12" x14ac:dyDescent="0.35">
      <c r="A28" s="31" t="s">
        <v>303</v>
      </c>
      <c r="B28" s="136">
        <f>SUMPRODUCT(预算数据!C23:C26,预算数据!M4:M7)</f>
        <v>367245.9425</v>
      </c>
      <c r="C28" s="2"/>
      <c r="D28" s="137">
        <f>SUMPRODUCT(实际数据!C23:C26,预算数据!M4:M7)</f>
        <v>367245.9425</v>
      </c>
      <c r="F28" s="139"/>
      <c r="G28" s="23"/>
      <c r="H28" s="23"/>
      <c r="I28" s="23"/>
      <c r="J28" s="23"/>
      <c r="K28" s="23"/>
      <c r="L28" s="155"/>
    </row>
    <row r="29" spans="1:12" x14ac:dyDescent="0.35">
      <c r="A29" s="31" t="s">
        <v>83</v>
      </c>
      <c r="B29" s="136">
        <f>SUMPRODUCT(预算数据!D23:D26,预算数据!M4:M7)</f>
        <v>6084848.1345936712</v>
      </c>
      <c r="C29" s="2"/>
      <c r="D29" s="137">
        <f>SUMPRODUCT(实际数据!D23:D26,实际数据!M4:M7)</f>
        <v>6555914.6100000003</v>
      </c>
      <c r="F29" s="139" t="s">
        <v>342</v>
      </c>
      <c r="G29" s="23"/>
      <c r="H29" s="23"/>
      <c r="I29" s="23"/>
      <c r="J29" s="23"/>
      <c r="K29" s="23"/>
      <c r="L29" s="155"/>
    </row>
    <row r="30" spans="1:12" x14ac:dyDescent="0.35">
      <c r="A30" s="31" t="s">
        <v>304</v>
      </c>
      <c r="B30" s="140">
        <f>SUMPRODUCT(预算数据!F23:F26,预算数据!M4:M7)</f>
        <v>397518.81879151077</v>
      </c>
      <c r="C30" s="2"/>
      <c r="D30" s="141">
        <f>SUMPRODUCT(实际数据!F23:F26,预算数据!M4:M7)</f>
        <v>409167.26649999979</v>
      </c>
      <c r="F30" s="139" t="s">
        <v>321</v>
      </c>
      <c r="G30" s="23"/>
      <c r="H30" s="23"/>
      <c r="I30" s="23"/>
      <c r="J30" s="23"/>
      <c r="K30" s="23"/>
      <c r="L30" s="155"/>
    </row>
    <row r="31" spans="1:12" x14ac:dyDescent="0.35">
      <c r="A31" s="143" t="s">
        <v>305</v>
      </c>
      <c r="B31" s="136">
        <f>B28+B29-B30</f>
        <v>6054575.2583021605</v>
      </c>
      <c r="C31" s="2"/>
      <c r="D31" s="137">
        <f>D28+D29-D30</f>
        <v>6513993.2860000003</v>
      </c>
      <c r="F31" s="158"/>
      <c r="G31" s="161"/>
      <c r="H31" s="161"/>
      <c r="I31" s="161"/>
      <c r="J31" s="161"/>
      <c r="K31" s="161"/>
      <c r="L31" s="166"/>
    </row>
    <row r="32" spans="1:12" x14ac:dyDescent="0.35">
      <c r="A32" s="31"/>
      <c r="B32" s="126"/>
      <c r="C32" s="126"/>
      <c r="D32" s="127"/>
    </row>
    <row r="33" spans="1:12" x14ac:dyDescent="0.35">
      <c r="A33" s="57" t="s">
        <v>306</v>
      </c>
      <c r="B33" s="126"/>
      <c r="C33" s="126"/>
      <c r="D33" s="127"/>
      <c r="E33" s="167"/>
      <c r="F33" s="335" t="s">
        <v>343</v>
      </c>
      <c r="G33" s="336"/>
      <c r="H33" s="336"/>
      <c r="I33" s="336"/>
      <c r="J33" s="336"/>
      <c r="K33" s="336"/>
      <c r="L33" s="337"/>
    </row>
    <row r="34" spans="1:12" x14ac:dyDescent="0.35">
      <c r="A34" s="31" t="s">
        <v>344</v>
      </c>
      <c r="B34" s="136">
        <v>0</v>
      </c>
      <c r="C34" s="136">
        <v>0</v>
      </c>
      <c r="D34" s="137">
        <v>0</v>
      </c>
      <c r="E34" s="167"/>
    </row>
    <row r="35" spans="1:12" x14ac:dyDescent="0.35">
      <c r="A35" s="31" t="s">
        <v>330</v>
      </c>
      <c r="B35" s="136">
        <f>B31</f>
        <v>6054575.2583021605</v>
      </c>
      <c r="C35" s="136">
        <f>C12</f>
        <v>6453183.7999999998</v>
      </c>
      <c r="D35" s="137">
        <f>D31</f>
        <v>6513993.2860000003</v>
      </c>
      <c r="E35" s="168"/>
    </row>
    <row r="36" spans="1:12" x14ac:dyDescent="0.35">
      <c r="A36" s="31" t="s">
        <v>309</v>
      </c>
      <c r="B36" s="136">
        <f>SUMPRODUCT(预算数据!D30:D32,销售成本计算!H8:H10)</f>
        <v>2379376.9584002667</v>
      </c>
      <c r="C36" s="136">
        <f>C13</f>
        <v>2596848.4666666668</v>
      </c>
      <c r="D36" s="137">
        <f>L20</f>
        <v>2726790.7708999999</v>
      </c>
      <c r="E36" s="168"/>
    </row>
    <row r="37" spans="1:12" x14ac:dyDescent="0.35">
      <c r="A37" s="31" t="s">
        <v>322</v>
      </c>
      <c r="B37" s="136">
        <f>SUMPRODUCT(预算数据!D30:D32,销售成本计算!I8:I10)</f>
        <v>497489.1795948667</v>
      </c>
      <c r="C37" s="136">
        <f>C14</f>
        <v>530784.33333333337</v>
      </c>
      <c r="D37" s="137">
        <f>实际数据!I24</f>
        <v>540400</v>
      </c>
      <c r="E37" s="168"/>
    </row>
    <row r="38" spans="1:12" x14ac:dyDescent="0.35">
      <c r="A38" s="31" t="s">
        <v>345</v>
      </c>
      <c r="B38" s="136">
        <f>SUMPRODUCT(预算数据!D30:D32,销售成本计算!K8:K10)</f>
        <v>224700.00000000009</v>
      </c>
      <c r="C38" s="136">
        <f>差异计算!F80</f>
        <v>239738.35932899296</v>
      </c>
      <c r="D38" s="137">
        <f>SUM(实际数据!I26:I28)</f>
        <v>236874</v>
      </c>
      <c r="E38" s="168"/>
    </row>
    <row r="39" spans="1:12" x14ac:dyDescent="0.35">
      <c r="A39" s="31" t="s">
        <v>314</v>
      </c>
      <c r="B39" s="140">
        <v>0</v>
      </c>
      <c r="C39" s="140">
        <v>0</v>
      </c>
      <c r="D39" s="141">
        <v>0</v>
      </c>
      <c r="E39" s="168"/>
    </row>
    <row r="40" spans="1:12" x14ac:dyDescent="0.35">
      <c r="A40" s="143" t="s">
        <v>316</v>
      </c>
      <c r="B40" s="136">
        <f>SUM(B34:B38)-B39</f>
        <v>9156141.3962972946</v>
      </c>
      <c r="C40" s="136">
        <f>SUM(C34:C38)-C39</f>
        <v>9820554.9593289923</v>
      </c>
      <c r="D40" s="137">
        <f>SUM(D34:D38)-D39</f>
        <v>10018058.0569</v>
      </c>
      <c r="E40" s="168"/>
    </row>
    <row r="41" spans="1:12" x14ac:dyDescent="0.35">
      <c r="A41" s="31"/>
      <c r="B41" s="126"/>
      <c r="C41" s="126"/>
      <c r="D41" s="127"/>
      <c r="E41" s="168"/>
    </row>
    <row r="42" spans="1:12" x14ac:dyDescent="0.35">
      <c r="A42" s="57" t="s">
        <v>315</v>
      </c>
      <c r="B42" s="126"/>
      <c r="C42" s="126"/>
      <c r="D42" s="127"/>
      <c r="E42" s="168"/>
    </row>
    <row r="43" spans="1:12" x14ac:dyDescent="0.35">
      <c r="A43" s="31" t="s">
        <v>326</v>
      </c>
      <c r="B43" s="136">
        <f>SUMPRODUCT(预算数据!C30:C32,销售成本计算!L8:L10)</f>
        <v>332227.92406160099</v>
      </c>
      <c r="C43" s="136">
        <f>B43</f>
        <v>332227.92406160099</v>
      </c>
      <c r="D43" s="137">
        <f>SUMPRODUCT(实际数据!C30:C32,销售成本计算!L8:L10)</f>
        <v>332227.92406160099</v>
      </c>
      <c r="E43" s="168"/>
    </row>
    <row r="44" spans="1:12" x14ac:dyDescent="0.35">
      <c r="A44" s="31" t="s">
        <v>316</v>
      </c>
      <c r="B44" s="136">
        <f>B40</f>
        <v>9156141.3962972946</v>
      </c>
      <c r="C44" s="136">
        <f>C40</f>
        <v>9820554.9593289923</v>
      </c>
      <c r="D44" s="137">
        <f>D40</f>
        <v>10018058.0569</v>
      </c>
      <c r="E44" s="168"/>
    </row>
    <row r="45" spans="1:12" x14ac:dyDescent="0.35">
      <c r="A45" s="31" t="s">
        <v>318</v>
      </c>
      <c r="B45" s="140">
        <f>SUMPRODUCT(预算数据!F30:F32,销售成本计算!L8:L10)</f>
        <v>359614.18945431471</v>
      </c>
      <c r="C45" s="140">
        <f>D45</f>
        <v>652377.01704451267</v>
      </c>
      <c r="D45" s="141">
        <f>SUMPRODUCT(实际数据!F30:F32,销售成本计算!L8:L10)</f>
        <v>652377.01704451267</v>
      </c>
      <c r="E45" s="168"/>
    </row>
    <row r="46" spans="1:12" x14ac:dyDescent="0.35">
      <c r="A46" s="163" t="s">
        <v>319</v>
      </c>
      <c r="B46" s="164">
        <f>B43+B44-B45</f>
        <v>9128755.1309045795</v>
      </c>
      <c r="C46" s="164">
        <f>C43+C44-C45</f>
        <v>9500405.8663460799</v>
      </c>
      <c r="D46" s="162">
        <f>D43+D44-D45</f>
        <v>9697908.9639170878</v>
      </c>
      <c r="E46" s="168"/>
    </row>
    <row r="47" spans="1:12" x14ac:dyDescent="0.35">
      <c r="E47" s="168"/>
    </row>
    <row r="48" spans="1:12" x14ac:dyDescent="0.35">
      <c r="A48" s="169" t="s">
        <v>323</v>
      </c>
      <c r="B48" s="170"/>
      <c r="C48" s="170"/>
      <c r="D48" s="171"/>
      <c r="E48" s="126"/>
    </row>
    <row r="49" spans="1:5" x14ac:dyDescent="0.35">
      <c r="A49" s="172" t="s">
        <v>324</v>
      </c>
      <c r="B49" s="173"/>
      <c r="C49" s="173"/>
      <c r="D49" s="174"/>
    </row>
    <row r="50" spans="1:5" x14ac:dyDescent="0.35">
      <c r="B50" s="70"/>
      <c r="C50" s="70"/>
      <c r="D50" s="127"/>
    </row>
    <row r="51" spans="1:5" x14ac:dyDescent="0.35">
      <c r="B51" s="132" t="s">
        <v>295</v>
      </c>
      <c r="C51" s="132" t="s">
        <v>114</v>
      </c>
      <c r="D51" s="133" t="s">
        <v>297</v>
      </c>
    </row>
    <row r="52" spans="1:5" x14ac:dyDescent="0.35">
      <c r="B52" s="58"/>
      <c r="C52" s="58"/>
      <c r="D52" s="148"/>
    </row>
    <row r="53" spans="1:5" x14ac:dyDescent="0.35">
      <c r="A53" s="2" t="s">
        <v>325</v>
      </c>
      <c r="B53" s="136">
        <f>SUMPRODUCT(预算数据!C30:C32,销售成本计算!$K$8:$K$10)</f>
        <v>8153.1740616009474</v>
      </c>
      <c r="C53" s="136">
        <f>B53</f>
        <v>8153.1740616009474</v>
      </c>
      <c r="D53" s="137">
        <f>SUMPRODUCT(实际数据!C30:C32,销售成本计算!$K$8:$K$10)</f>
        <v>8153.1740616009474</v>
      </c>
    </row>
    <row r="54" spans="1:5" x14ac:dyDescent="0.35">
      <c r="A54" s="2" t="s">
        <v>118</v>
      </c>
      <c r="B54" s="140">
        <f>SUMPRODUCT(预算数据!F30:F32,销售成本计算!$K$8:$K$10)</f>
        <v>8825.2578103546857</v>
      </c>
      <c r="C54" s="140">
        <f>D54</f>
        <v>15493.533711179307</v>
      </c>
      <c r="D54" s="141">
        <f>SUMPRODUCT(实际数据!F30:F32,销售成本计算!$K$8:$K$10)</f>
        <v>15493.533711179307</v>
      </c>
    </row>
    <row r="55" spans="1:5" x14ac:dyDescent="0.35">
      <c r="A55" s="45" t="s">
        <v>346</v>
      </c>
      <c r="B55" s="164">
        <f>B54-B53</f>
        <v>672.08374875373829</v>
      </c>
      <c r="C55" s="164">
        <f>C54-C53</f>
        <v>7340.3596495783595</v>
      </c>
      <c r="D55" s="162">
        <f>D54-D53</f>
        <v>7340.3596495783595</v>
      </c>
    </row>
    <row r="57" spans="1:5" x14ac:dyDescent="0.35">
      <c r="E57" s="167"/>
    </row>
    <row r="58" spans="1:5" x14ac:dyDescent="0.35">
      <c r="E58" s="167"/>
    </row>
    <row r="59" spans="1:5" x14ac:dyDescent="0.35">
      <c r="E59" s="167"/>
    </row>
  </sheetData>
  <mergeCells count="13">
    <mergeCell ref="F33:L33"/>
    <mergeCell ref="G3:G7"/>
    <mergeCell ref="G14:G15"/>
    <mergeCell ref="H3:H7"/>
    <mergeCell ref="H14:H15"/>
    <mergeCell ref="I3:I7"/>
    <mergeCell ref="I14:I15"/>
    <mergeCell ref="J3:J7"/>
    <mergeCell ref="J14:J15"/>
    <mergeCell ref="K3:K7"/>
    <mergeCell ref="K14:K15"/>
    <mergeCell ref="L3:L7"/>
    <mergeCell ref="L14:L15"/>
  </mergeCells>
  <phoneticPr fontId="2" type="noConversion"/>
  <pageMargins left="0.7" right="0.7" top="0.75" bottom="0.75" header="0.3" footer="0.3"/>
  <pageSetup orientation="portrait"/>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7"/>
  <sheetViews>
    <sheetView zoomScale="85" zoomScaleNormal="85" workbookViewId="0">
      <selection activeCell="F18" sqref="F18"/>
    </sheetView>
  </sheetViews>
  <sheetFormatPr defaultColWidth="9.109375" defaultRowHeight="15.6" x14ac:dyDescent="0.35"/>
  <cols>
    <col min="1" max="1" width="18.88671875" style="79" customWidth="1"/>
    <col min="2" max="2" width="15.77734375" style="216" customWidth="1"/>
    <col min="3" max="3" width="2.77734375" style="79" customWidth="1"/>
    <col min="4" max="4" width="15.77734375" style="79" customWidth="1"/>
    <col min="5" max="5" width="2.77734375" style="79" customWidth="1"/>
    <col min="6" max="6" width="15.77734375" style="79" customWidth="1"/>
    <col min="7" max="7" width="2.77734375" style="79" customWidth="1"/>
    <col min="8" max="8" width="32" style="79" customWidth="1"/>
    <col min="9" max="11" width="15.77734375" style="79" customWidth="1"/>
    <col min="12" max="12" width="9.109375" style="79"/>
    <col min="13" max="13" width="10.77734375" style="79" customWidth="1"/>
    <col min="14" max="16384" width="9.109375" style="79"/>
  </cols>
  <sheetData>
    <row r="1" spans="1:13" x14ac:dyDescent="0.35">
      <c r="A1" s="175" t="s">
        <v>347</v>
      </c>
      <c r="B1" s="176"/>
      <c r="C1" s="75"/>
      <c r="D1" s="75"/>
      <c r="E1" s="75"/>
      <c r="F1" s="76"/>
      <c r="H1" s="177" t="s">
        <v>130</v>
      </c>
      <c r="I1" s="178"/>
      <c r="J1" s="178"/>
      <c r="K1" s="179"/>
    </row>
    <row r="2" spans="1:13" x14ac:dyDescent="0.35">
      <c r="A2" s="180"/>
      <c r="B2" s="181"/>
      <c r="F2" s="80"/>
      <c r="H2" s="182"/>
      <c r="I2" s="183"/>
      <c r="J2" s="183"/>
      <c r="K2" s="184"/>
    </row>
    <row r="3" spans="1:13" x14ac:dyDescent="0.35">
      <c r="A3" s="89"/>
      <c r="B3" s="185" t="s">
        <v>295</v>
      </c>
      <c r="C3" s="186"/>
      <c r="D3" s="186" t="s">
        <v>296</v>
      </c>
      <c r="E3" s="186"/>
      <c r="F3" s="187" t="s">
        <v>297</v>
      </c>
      <c r="H3" s="182"/>
      <c r="I3" s="188" t="s">
        <v>12</v>
      </c>
      <c r="J3" s="188" t="s">
        <v>13</v>
      </c>
      <c r="K3" s="189" t="s">
        <v>14</v>
      </c>
      <c r="M3" s="118"/>
    </row>
    <row r="4" spans="1:13" x14ac:dyDescent="0.35">
      <c r="A4" s="89"/>
      <c r="B4" s="101"/>
      <c r="F4" s="80"/>
      <c r="G4" s="119"/>
      <c r="H4" s="182" t="s">
        <v>348</v>
      </c>
      <c r="I4" s="190">
        <f>预算数据!C12</f>
        <v>35</v>
      </c>
      <c r="J4" s="190">
        <f>预算数据!C13</f>
        <v>44</v>
      </c>
      <c r="K4" s="191">
        <f>预算数据!C14</f>
        <v>64</v>
      </c>
    </row>
    <row r="5" spans="1:13" x14ac:dyDescent="0.35">
      <c r="A5" s="89" t="s">
        <v>349</v>
      </c>
      <c r="B5" s="192">
        <f>SUMPRODUCT(I15:K15,I4:K4)</f>
        <v>11297327.527999999</v>
      </c>
      <c r="C5" s="193"/>
      <c r="D5" s="192">
        <f>SUMPRODUCT(I$22:K$22,I4:K4)</f>
        <v>11773080</v>
      </c>
      <c r="E5" s="193"/>
      <c r="F5" s="194">
        <f>SUMPRODUCT(实际数据!C8:C10,实际数据!C12:C14)</f>
        <v>11780400</v>
      </c>
      <c r="G5" s="119"/>
      <c r="H5" s="182" t="s">
        <v>350</v>
      </c>
      <c r="I5" s="195">
        <f>I4*预算数据!$J33</f>
        <v>1.05</v>
      </c>
      <c r="J5" s="195">
        <f>J4*预算数据!$J33</f>
        <v>1.3199999999999998</v>
      </c>
      <c r="K5" s="196">
        <f>K4*预算数据!$J33</f>
        <v>1.92</v>
      </c>
    </row>
    <row r="6" spans="1:13" x14ac:dyDescent="0.35">
      <c r="A6" s="89" t="s">
        <v>82</v>
      </c>
      <c r="B6" s="197">
        <f>-SUMPRODUCT(I15:K15,I5:K5)</f>
        <v>-338919.82584</v>
      </c>
      <c r="C6" s="198"/>
      <c r="D6" s="197">
        <f>-SUMPRODUCT(I$22:K$22,I5:K5)</f>
        <v>-353192.4</v>
      </c>
      <c r="E6" s="199"/>
      <c r="F6" s="200">
        <f>-F5*实际数据!J33</f>
        <v>-329851.2</v>
      </c>
      <c r="G6" s="119"/>
      <c r="H6" s="182" t="s">
        <v>351</v>
      </c>
      <c r="I6" s="190">
        <f>I4-I5</f>
        <v>33.950000000000003</v>
      </c>
      <c r="J6" s="190">
        <f>J4-J5</f>
        <v>42.68</v>
      </c>
      <c r="K6" s="191">
        <f>K4-K5</f>
        <v>62.08</v>
      </c>
    </row>
    <row r="7" spans="1:13" x14ac:dyDescent="0.35">
      <c r="A7" s="89" t="s">
        <v>352</v>
      </c>
      <c r="B7" s="192">
        <f>B5+B6</f>
        <v>10958407.702159999</v>
      </c>
      <c r="C7" s="193"/>
      <c r="D7" s="192">
        <f>D5+D6</f>
        <v>11419887.6</v>
      </c>
      <c r="E7" s="193"/>
      <c r="F7" s="194">
        <f>F5+F6</f>
        <v>11450548.800000001</v>
      </c>
      <c r="G7" s="119"/>
      <c r="H7" s="182" t="s">
        <v>353</v>
      </c>
      <c r="I7" s="190">
        <f>销售成本计算!J8</f>
        <v>28.69</v>
      </c>
      <c r="J7" s="190">
        <f>销售成本计算!J9</f>
        <v>31.943333333333335</v>
      </c>
      <c r="K7" s="191">
        <f>销售成本计算!J10</f>
        <v>50.523333333333341</v>
      </c>
    </row>
    <row r="8" spans="1:13" x14ac:dyDescent="0.35">
      <c r="A8" s="89" t="s">
        <v>354</v>
      </c>
      <c r="B8" s="192">
        <f>SUMPRODUCT(I15:K15,I7:K7)</f>
        <v>8904727.2146533336</v>
      </c>
      <c r="C8" s="181"/>
      <c r="D8" s="192">
        <f>SUMPRODUCT(I$22:K$22,I7:K7)</f>
        <v>9268007.8666666672</v>
      </c>
      <c r="F8" s="194">
        <f>销售成本计算!D22</f>
        <v>9468375.3235666677</v>
      </c>
      <c r="G8" s="119"/>
      <c r="H8" s="182" t="s">
        <v>355</v>
      </c>
      <c r="I8" s="195">
        <f>(预算数据!$J34+预算数据!$J35)*I6</f>
        <v>1.4938</v>
      </c>
      <c r="J8" s="195">
        <f>(预算数据!$J34+预算数据!$J35)*J6</f>
        <v>1.8779199999999998</v>
      </c>
      <c r="K8" s="196">
        <f>(预算数据!$J34+预算数据!$J35)*K6</f>
        <v>2.7315199999999997</v>
      </c>
    </row>
    <row r="9" spans="1:13" x14ac:dyDescent="0.35">
      <c r="A9" s="89" t="s">
        <v>356</v>
      </c>
      <c r="B9" s="197">
        <f>SUMPRODUCT(I15:K15,I8:K8)</f>
        <v>482169.93889503996</v>
      </c>
      <c r="C9" s="198"/>
      <c r="D9" s="197">
        <f>SUMPRODUCT(I$22:K$22,I8:K8)</f>
        <v>502475.05439999996</v>
      </c>
      <c r="E9" s="199"/>
      <c r="F9" s="200">
        <f>F7*(实际数据!J34+实际数据!J35)</f>
        <v>503824.14720000001</v>
      </c>
      <c r="G9" s="119"/>
      <c r="H9" s="201" t="s">
        <v>357</v>
      </c>
      <c r="I9" s="202">
        <f>I6-I7-I8</f>
        <v>3.7662000000000013</v>
      </c>
      <c r="J9" s="202">
        <f>J6-J7-J8</f>
        <v>8.858746666666665</v>
      </c>
      <c r="K9" s="203">
        <f>K6-K7-K8</f>
        <v>8.825146666666658</v>
      </c>
    </row>
    <row r="10" spans="1:13" x14ac:dyDescent="0.35">
      <c r="A10" s="89" t="s">
        <v>358</v>
      </c>
      <c r="B10" s="192">
        <f>B7-B8-B9</f>
        <v>1571510.5486116253</v>
      </c>
      <c r="C10" s="193"/>
      <c r="D10" s="192">
        <f>D7-D8-D9</f>
        <v>1649404.6789333324</v>
      </c>
      <c r="E10" s="193"/>
      <c r="F10" s="194">
        <f>F7-F8-F9</f>
        <v>1478349.329233333</v>
      </c>
      <c r="G10" s="119"/>
      <c r="J10" s="77"/>
      <c r="K10" s="77"/>
    </row>
    <row r="11" spans="1:13" x14ac:dyDescent="0.35">
      <c r="A11" s="89" t="s">
        <v>359</v>
      </c>
      <c r="B11" s="192">
        <f>SUM(预算数据!I26:I28)</f>
        <v>224700</v>
      </c>
      <c r="C11" s="181"/>
      <c r="D11" s="192">
        <f>B11</f>
        <v>224700</v>
      </c>
      <c r="F11" s="194">
        <f>SUM(实际数据!I26:I28)</f>
        <v>236874</v>
      </c>
      <c r="G11" s="119"/>
      <c r="H11" s="177" t="s">
        <v>360</v>
      </c>
      <c r="I11" s="178"/>
      <c r="J11" s="178"/>
      <c r="K11" s="179"/>
    </row>
    <row r="12" spans="1:13" x14ac:dyDescent="0.35">
      <c r="A12" s="89" t="s">
        <v>361</v>
      </c>
      <c r="B12" s="197">
        <f>SUM(预算数据!I37:I39)</f>
        <v>543900</v>
      </c>
      <c r="C12" s="198"/>
      <c r="D12" s="197">
        <f>B12</f>
        <v>543900</v>
      </c>
      <c r="E12" s="199"/>
      <c r="F12" s="200">
        <f>SUM(实际数据!I37:I39)</f>
        <v>544902.79</v>
      </c>
      <c r="G12" s="119"/>
      <c r="H12" s="204"/>
      <c r="I12" s="205"/>
      <c r="J12" s="205"/>
      <c r="K12" s="206"/>
    </row>
    <row r="13" spans="1:13" x14ac:dyDescent="0.35">
      <c r="A13" s="91" t="s">
        <v>362</v>
      </c>
      <c r="B13" s="207">
        <f>B10-B11-B12</f>
        <v>802910.54861162533</v>
      </c>
      <c r="C13" s="208"/>
      <c r="D13" s="207">
        <f>D10-D11-D12</f>
        <v>880804.67893333244</v>
      </c>
      <c r="E13" s="208"/>
      <c r="F13" s="209">
        <f>F10-F11-F12</f>
        <v>696572.53923333297</v>
      </c>
      <c r="H13" s="204"/>
      <c r="I13" s="188" t="s">
        <v>12</v>
      </c>
      <c r="J13" s="188" t="s">
        <v>13</v>
      </c>
      <c r="K13" s="189" t="s">
        <v>14</v>
      </c>
    </row>
    <row r="14" spans="1:13" x14ac:dyDescent="0.35">
      <c r="B14" s="181"/>
      <c r="F14" s="181"/>
      <c r="H14" s="182" t="s">
        <v>363</v>
      </c>
      <c r="I14" s="210">
        <f>预算数据!D30</f>
        <v>161224.94013599999</v>
      </c>
      <c r="J14" s="210">
        <f>预算数据!D31</f>
        <v>66143.565184000006</v>
      </c>
      <c r="K14" s="211">
        <f>预算数据!D32</f>
        <v>43406.714652000002</v>
      </c>
    </row>
    <row r="15" spans="1:13" x14ac:dyDescent="0.35">
      <c r="A15" s="175" t="s">
        <v>364</v>
      </c>
      <c r="B15" s="176"/>
      <c r="C15" s="75"/>
      <c r="D15" s="75"/>
      <c r="E15" s="75"/>
      <c r="F15" s="76"/>
      <c r="H15" s="182" t="s">
        <v>365</v>
      </c>
      <c r="I15" s="212">
        <f>预算数据!C8</f>
        <v>160742.712</v>
      </c>
      <c r="J15" s="212">
        <f>预算数据!C9</f>
        <v>65945.728000000003</v>
      </c>
      <c r="K15" s="213">
        <f>预算数据!C10</f>
        <v>43276.883999999998</v>
      </c>
    </row>
    <row r="16" spans="1:13" x14ac:dyDescent="0.35">
      <c r="A16" s="180"/>
      <c r="B16" s="181"/>
      <c r="F16" s="80"/>
      <c r="H16" s="201" t="s">
        <v>366</v>
      </c>
      <c r="I16" s="214">
        <f>I14-I15</f>
        <v>482.22813599999063</v>
      </c>
      <c r="J16" s="214">
        <f t="shared" ref="J16:K16" si="0">J14-J15</f>
        <v>197.83718400000362</v>
      </c>
      <c r="K16" s="215">
        <f t="shared" si="0"/>
        <v>129.83065200000419</v>
      </c>
    </row>
    <row r="17" spans="1:11" x14ac:dyDescent="0.35">
      <c r="A17" s="89"/>
      <c r="B17" s="185" t="s">
        <v>295</v>
      </c>
      <c r="C17" s="186"/>
      <c r="D17" s="186" t="s">
        <v>296</v>
      </c>
      <c r="E17" s="186"/>
      <c r="F17" s="187" t="s">
        <v>367</v>
      </c>
    </row>
    <row r="18" spans="1:11" x14ac:dyDescent="0.35">
      <c r="A18" s="89"/>
      <c r="B18" s="185"/>
      <c r="C18" s="186"/>
      <c r="D18" s="186"/>
      <c r="E18" s="186"/>
      <c r="F18" s="187"/>
      <c r="H18" s="177" t="s">
        <v>368</v>
      </c>
      <c r="I18" s="178"/>
      <c r="J18" s="178"/>
      <c r="K18" s="179"/>
    </row>
    <row r="19" spans="1:11" x14ac:dyDescent="0.35">
      <c r="A19" s="89" t="s">
        <v>349</v>
      </c>
      <c r="B19" s="192">
        <f>B5</f>
        <v>11297327.527999999</v>
      </c>
      <c r="D19" s="192">
        <f>D5</f>
        <v>11773080</v>
      </c>
      <c r="F19" s="194">
        <f>F5</f>
        <v>11780400</v>
      </c>
      <c r="H19" s="204"/>
      <c r="I19" s="205"/>
      <c r="J19" s="205"/>
      <c r="K19" s="206"/>
    </row>
    <row r="20" spans="1:11" x14ac:dyDescent="0.35">
      <c r="A20" s="89" t="s">
        <v>369</v>
      </c>
      <c r="B20" s="197">
        <f>B6</f>
        <v>-338919.82584</v>
      </c>
      <c r="D20" s="197">
        <f>D6</f>
        <v>-353192.4</v>
      </c>
      <c r="F20" s="200">
        <f>F6</f>
        <v>-329851.2</v>
      </c>
      <c r="H20" s="204"/>
      <c r="I20" s="188" t="s">
        <v>12</v>
      </c>
      <c r="J20" s="188" t="s">
        <v>13</v>
      </c>
      <c r="K20" s="189" t="s">
        <v>14</v>
      </c>
    </row>
    <row r="21" spans="1:11" x14ac:dyDescent="0.35">
      <c r="A21" s="89" t="s">
        <v>370</v>
      </c>
      <c r="B21" s="192">
        <f>B7</f>
        <v>10958407.702159999</v>
      </c>
      <c r="D21" s="192">
        <f>D7</f>
        <v>11419887.6</v>
      </c>
      <c r="F21" s="194">
        <f>F7</f>
        <v>11450548.800000001</v>
      </c>
      <c r="H21" s="182" t="s">
        <v>371</v>
      </c>
      <c r="I21" s="210">
        <f>实际数据!D30</f>
        <v>162000</v>
      </c>
      <c r="J21" s="210">
        <f>实际数据!D31</f>
        <v>68702</v>
      </c>
      <c r="K21" s="211">
        <f>实际数据!D32</f>
        <v>54202</v>
      </c>
    </row>
    <row r="22" spans="1:11" x14ac:dyDescent="0.35">
      <c r="A22" s="89" t="s">
        <v>372</v>
      </c>
      <c r="B22" s="197">
        <f>销售成本计算!B46</f>
        <v>9128755.1309045795</v>
      </c>
      <c r="C22" s="199"/>
      <c r="D22" s="197">
        <f>SUMPRODUCT(实际数据!E30:E32,销售成本计算!L8:L10)</f>
        <v>9500405.8663460817</v>
      </c>
      <c r="E22" s="199"/>
      <c r="F22" s="200">
        <f>销售成本计算!D46</f>
        <v>9697908.9639170878</v>
      </c>
      <c r="H22" s="182" t="s">
        <v>373</v>
      </c>
      <c r="I22" s="210">
        <f>实际数据!C8</f>
        <v>155400</v>
      </c>
      <c r="J22" s="210">
        <f>实际数据!C9</f>
        <v>68320</v>
      </c>
      <c r="K22" s="211">
        <f>实际数据!C10</f>
        <v>52000</v>
      </c>
    </row>
    <row r="23" spans="1:11" x14ac:dyDescent="0.35">
      <c r="A23" s="89" t="s">
        <v>374</v>
      </c>
      <c r="B23" s="192">
        <f>B21-B22</f>
        <v>1829652.5712554194</v>
      </c>
      <c r="D23" s="192">
        <f>D21-D22</f>
        <v>1919481.7336539179</v>
      </c>
      <c r="F23" s="194">
        <f>F21-F22</f>
        <v>1752639.836082913</v>
      </c>
      <c r="H23" s="201" t="s">
        <v>368</v>
      </c>
      <c r="I23" s="214">
        <f>I21-I22</f>
        <v>6600</v>
      </c>
      <c r="J23" s="214">
        <f t="shared" ref="J23:K23" si="1">J21-J22</f>
        <v>382</v>
      </c>
      <c r="K23" s="215">
        <f t="shared" si="1"/>
        <v>2202</v>
      </c>
    </row>
    <row r="24" spans="1:11" x14ac:dyDescent="0.35">
      <c r="A24" s="89" t="s">
        <v>356</v>
      </c>
      <c r="B24" s="192">
        <f>B9</f>
        <v>482169.93889503996</v>
      </c>
      <c r="D24" s="192">
        <f>D9</f>
        <v>502475.05439999996</v>
      </c>
      <c r="F24" s="194">
        <f>F9</f>
        <v>503824.14720000001</v>
      </c>
    </row>
    <row r="25" spans="1:11" x14ac:dyDescent="0.35">
      <c r="A25" s="89" t="s">
        <v>361</v>
      </c>
      <c r="B25" s="197">
        <f>B12</f>
        <v>543900</v>
      </c>
      <c r="D25" s="192">
        <f>D12</f>
        <v>543900</v>
      </c>
      <c r="F25" s="200">
        <f>F12</f>
        <v>544902.79</v>
      </c>
      <c r="H25" s="341" t="s">
        <v>343</v>
      </c>
      <c r="I25" s="342"/>
      <c r="J25" s="342"/>
      <c r="K25" s="343"/>
    </row>
    <row r="26" spans="1:11" x14ac:dyDescent="0.35">
      <c r="A26" s="91" t="s">
        <v>362</v>
      </c>
      <c r="B26" s="207">
        <f>B23-B24-B25</f>
        <v>803582.63236037944</v>
      </c>
      <c r="C26" s="92"/>
      <c r="D26" s="207">
        <f>D23-D24-D25</f>
        <v>873106.67925391789</v>
      </c>
      <c r="E26" s="92"/>
      <c r="F26" s="209">
        <f>F23-F24-F25</f>
        <v>703912.89888291294</v>
      </c>
    </row>
    <row r="28" spans="1:11" x14ac:dyDescent="0.35">
      <c r="A28" s="175" t="s">
        <v>375</v>
      </c>
      <c r="B28" s="103"/>
      <c r="C28" s="103"/>
      <c r="D28" s="103"/>
      <c r="E28" s="103"/>
      <c r="F28" s="217"/>
    </row>
    <row r="29" spans="1:11" x14ac:dyDescent="0.35">
      <c r="A29" s="180"/>
      <c r="B29" s="117"/>
      <c r="C29" s="117"/>
      <c r="D29" s="117"/>
      <c r="E29" s="117"/>
      <c r="F29" s="218"/>
    </row>
    <row r="30" spans="1:11" x14ac:dyDescent="0.35">
      <c r="A30" s="89"/>
      <c r="B30" s="185" t="s">
        <v>295</v>
      </c>
      <c r="C30" s="186"/>
      <c r="D30" s="186" t="s">
        <v>114</v>
      </c>
      <c r="E30" s="186"/>
      <c r="F30" s="187" t="s">
        <v>297</v>
      </c>
    </row>
    <row r="31" spans="1:11" x14ac:dyDescent="0.35">
      <c r="A31" s="89"/>
      <c r="B31" s="101"/>
      <c r="F31" s="80"/>
    </row>
    <row r="32" spans="1:11" x14ac:dyDescent="0.35">
      <c r="A32" s="89" t="s">
        <v>376</v>
      </c>
      <c r="B32" s="192">
        <f>B13</f>
        <v>802910.54861162533</v>
      </c>
      <c r="D32" s="192">
        <f>D13</f>
        <v>880804.67893333244</v>
      </c>
      <c r="F32" s="194">
        <f>F13</f>
        <v>696572.53923333297</v>
      </c>
    </row>
    <row r="33" spans="1:6" x14ac:dyDescent="0.35">
      <c r="A33" s="219" t="s">
        <v>123</v>
      </c>
      <c r="B33" s="192">
        <f>销售成本计算!B55</f>
        <v>672.08374875373829</v>
      </c>
      <c r="D33" s="192">
        <f>F33</f>
        <v>7340.3596495783595</v>
      </c>
      <c r="F33" s="194">
        <f>销售成本计算!D55</f>
        <v>7340.3596495783595</v>
      </c>
    </row>
    <row r="34" spans="1:6" x14ac:dyDescent="0.35">
      <c r="A34" s="89" t="s">
        <v>377</v>
      </c>
      <c r="B34" s="181"/>
      <c r="D34" s="192">
        <f>差异计算!C139</f>
        <v>15038.359328992956</v>
      </c>
      <c r="F34" s="80"/>
    </row>
    <row r="35" spans="1:6" x14ac:dyDescent="0.35">
      <c r="A35" s="219" t="s">
        <v>378</v>
      </c>
      <c r="B35" s="220">
        <f>B32+B33</f>
        <v>803582.6323603791</v>
      </c>
      <c r="D35" s="220">
        <f>D32+D33-D34</f>
        <v>873106.67925391789</v>
      </c>
      <c r="F35" s="221">
        <f>F32+F33</f>
        <v>703912.89888291131</v>
      </c>
    </row>
    <row r="36" spans="1:6" x14ac:dyDescent="0.35">
      <c r="A36" s="89"/>
      <c r="B36" s="181"/>
      <c r="F36" s="80"/>
    </row>
    <row r="37" spans="1:6" x14ac:dyDescent="0.35">
      <c r="A37" s="91" t="s">
        <v>379</v>
      </c>
      <c r="B37" s="222" t="str">
        <f>IF(B35-B26&lt;0.01,"通过","不通过")</f>
        <v>通过</v>
      </c>
      <c r="C37" s="223"/>
      <c r="D37" s="222" t="str">
        <f>IF(D35-D26&lt;0.01,"通过","不通过")</f>
        <v>通过</v>
      </c>
      <c r="E37" s="223"/>
      <c r="F37" s="224" t="str">
        <f>IF(F35-F26&lt;0.01,"通过","不通过")</f>
        <v>通过</v>
      </c>
    </row>
  </sheetData>
  <mergeCells count="1">
    <mergeCell ref="H25:K25"/>
  </mergeCells>
  <phoneticPr fontId="2" type="noConversion"/>
  <pageMargins left="0.7" right="0.7" top="0.75" bottom="0.75" header="0.3" footer="0.3"/>
  <pageSetup orientation="portrait"/>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81"/>
  <sheetViews>
    <sheetView zoomScale="70" zoomScaleNormal="70" workbookViewId="0">
      <selection activeCell="H125" sqref="H125"/>
    </sheetView>
  </sheetViews>
  <sheetFormatPr defaultColWidth="12.88671875" defaultRowHeight="15.6" x14ac:dyDescent="0.35"/>
  <cols>
    <col min="1" max="1" width="12.88671875" style="2"/>
    <col min="2" max="2" width="14.21875" style="2" customWidth="1"/>
    <col min="3" max="3" width="15.88671875" style="2" customWidth="1"/>
    <col min="4" max="4" width="11.109375" style="2" customWidth="1"/>
    <col min="5" max="5" width="16.88671875" style="2" customWidth="1"/>
    <col min="6" max="6" width="13" style="2" bestFit="1" customWidth="1"/>
    <col min="7" max="7" width="8.77734375" style="2" customWidth="1"/>
    <col min="8" max="8" width="13.33203125" style="2" bestFit="1" customWidth="1"/>
    <col min="9" max="11" width="13" style="2" bestFit="1" customWidth="1"/>
    <col min="12" max="12" width="12.88671875" style="2"/>
    <col min="13" max="13" width="13" style="2" bestFit="1" customWidth="1"/>
    <col min="14" max="14" width="12.88671875" style="2"/>
    <col min="15" max="15" width="16" style="2" customWidth="1"/>
    <col min="16" max="18" width="13" style="2" bestFit="1" customWidth="1"/>
    <col min="19" max="16384" width="12.88671875" style="2"/>
  </cols>
  <sheetData>
    <row r="1" spans="1:18" x14ac:dyDescent="0.35">
      <c r="A1" s="24" t="s">
        <v>380</v>
      </c>
      <c r="B1" s="25"/>
      <c r="C1" s="25"/>
      <c r="D1" s="25"/>
      <c r="E1" s="25"/>
      <c r="F1" s="25"/>
      <c r="G1" s="25"/>
      <c r="H1" s="25"/>
      <c r="I1" s="25"/>
      <c r="J1" s="25"/>
      <c r="K1" s="25"/>
      <c r="L1" s="25"/>
      <c r="M1" s="25"/>
      <c r="N1" s="25"/>
      <c r="O1" s="25"/>
      <c r="P1" s="25"/>
      <c r="Q1" s="25"/>
      <c r="R1" s="30"/>
    </row>
    <row r="2" spans="1:18" x14ac:dyDescent="0.35">
      <c r="A2" s="31"/>
      <c r="R2" s="32"/>
    </row>
    <row r="3" spans="1:18" x14ac:dyDescent="0.35">
      <c r="A3" s="57" t="s">
        <v>131</v>
      </c>
      <c r="R3" s="32"/>
    </row>
    <row r="4" spans="1:18" x14ac:dyDescent="0.35">
      <c r="A4" s="57"/>
      <c r="C4" s="344" t="s">
        <v>381</v>
      </c>
      <c r="D4" s="344" t="s">
        <v>382</v>
      </c>
      <c r="E4" s="344" t="s">
        <v>132</v>
      </c>
      <c r="F4" s="344" t="s">
        <v>133</v>
      </c>
      <c r="H4" s="344" t="s">
        <v>131</v>
      </c>
      <c r="R4" s="32"/>
    </row>
    <row r="5" spans="1:18" x14ac:dyDescent="0.35">
      <c r="A5" s="57"/>
      <c r="C5" s="344"/>
      <c r="D5" s="344"/>
      <c r="E5" s="344"/>
      <c r="F5" s="344"/>
      <c r="G5" s="225"/>
      <c r="H5" s="344"/>
      <c r="R5" s="32"/>
    </row>
    <row r="6" spans="1:18" x14ac:dyDescent="0.35">
      <c r="A6" s="57"/>
      <c r="B6" s="2" t="s">
        <v>12</v>
      </c>
      <c r="C6" s="157">
        <f>SUM(实际数据!$C$8:$C$10)</f>
        <v>275720</v>
      </c>
      <c r="D6" s="226">
        <f>实际数据!C8/差异计算!C6</f>
        <v>0.56361526185985777</v>
      </c>
      <c r="E6" s="226">
        <f>预算数据!C8/SUM(预算数据!$C$8:$C$10)</f>
        <v>0.59541984732824427</v>
      </c>
      <c r="F6" s="146">
        <f>利润表!I9</f>
        <v>3.7662000000000013</v>
      </c>
      <c r="H6" s="136">
        <f>C6*(D6-E6)*F6</f>
        <v>-33026.411541984788</v>
      </c>
      <c r="R6" s="32"/>
    </row>
    <row r="7" spans="1:18" x14ac:dyDescent="0.35">
      <c r="A7" s="57"/>
      <c r="B7" s="2" t="s">
        <v>13</v>
      </c>
      <c r="C7" s="157">
        <f>SUM(实际数据!$C$8:$C$10)</f>
        <v>275720</v>
      </c>
      <c r="D7" s="226">
        <f>实际数据!C9/差异计算!C7</f>
        <v>0.24778761061946902</v>
      </c>
      <c r="E7" s="226">
        <f>预算数据!C9/SUM(预算数据!$C$8:$C$10)</f>
        <v>0.24427480916030533</v>
      </c>
      <c r="F7" s="146">
        <f>利润表!J9</f>
        <v>8.858746666666665</v>
      </c>
      <c r="H7" s="136">
        <f t="shared" ref="H7:H8" si="0">C7*(D7-E7)*F7</f>
        <v>8580.1357027989961</v>
      </c>
      <c r="R7" s="32"/>
    </row>
    <row r="8" spans="1:18" x14ac:dyDescent="0.35">
      <c r="A8" s="57"/>
      <c r="B8" s="2" t="s">
        <v>14</v>
      </c>
      <c r="C8" s="157">
        <f>SUM(实际数据!$C$8:$C$10)</f>
        <v>275720</v>
      </c>
      <c r="D8" s="226">
        <f>实际数据!C10/差异计算!C8</f>
        <v>0.18859712752067315</v>
      </c>
      <c r="E8" s="226">
        <f>预算数据!C10/SUM(预算数据!$C$8:$C$10)</f>
        <v>0.16030534351145037</v>
      </c>
      <c r="F8" s="146">
        <f>利润表!K9</f>
        <v>8.825146666666658</v>
      </c>
      <c r="H8" s="140">
        <f t="shared" si="0"/>
        <v>68841.53340254449</v>
      </c>
      <c r="R8" s="32"/>
    </row>
    <row r="9" spans="1:18" ht="13.5" customHeight="1" x14ac:dyDescent="0.35">
      <c r="A9" s="57"/>
      <c r="B9" s="2" t="s">
        <v>122</v>
      </c>
      <c r="H9" s="136">
        <f>SUM(H6:H8)</f>
        <v>44395.257563358697</v>
      </c>
      <c r="J9" s="345" t="s">
        <v>383</v>
      </c>
      <c r="K9" s="345"/>
      <c r="L9" s="345"/>
      <c r="M9" s="345"/>
      <c r="R9" s="32"/>
    </row>
    <row r="10" spans="1:18" x14ac:dyDescent="0.35">
      <c r="A10" s="57"/>
      <c r="J10" s="345"/>
      <c r="K10" s="345"/>
      <c r="L10" s="345"/>
      <c r="M10" s="345"/>
      <c r="R10" s="32"/>
    </row>
    <row r="11" spans="1:18" x14ac:dyDescent="0.35">
      <c r="A11" s="57" t="s">
        <v>138</v>
      </c>
      <c r="J11" s="345"/>
      <c r="K11" s="345"/>
      <c r="L11" s="345"/>
      <c r="M11" s="345"/>
      <c r="R11" s="32"/>
    </row>
    <row r="12" spans="1:18" x14ac:dyDescent="0.35">
      <c r="A12" s="57"/>
      <c r="C12" s="344" t="s">
        <v>384</v>
      </c>
      <c r="D12" s="344" t="s">
        <v>385</v>
      </c>
      <c r="E12" s="344" t="s">
        <v>132</v>
      </c>
      <c r="F12" s="344" t="s">
        <v>386</v>
      </c>
      <c r="H12" s="344" t="s">
        <v>387</v>
      </c>
      <c r="J12" s="345"/>
      <c r="K12" s="345"/>
      <c r="L12" s="345"/>
      <c r="M12" s="345"/>
      <c r="R12" s="32"/>
    </row>
    <row r="13" spans="1:18" ht="13.5" customHeight="1" x14ac:dyDescent="0.35">
      <c r="A13" s="57"/>
      <c r="C13" s="344"/>
      <c r="D13" s="344"/>
      <c r="E13" s="344"/>
      <c r="F13" s="344"/>
      <c r="H13" s="344"/>
      <c r="R13" s="32"/>
    </row>
    <row r="14" spans="1:18" x14ac:dyDescent="0.35">
      <c r="A14" s="57"/>
      <c r="C14" s="344"/>
      <c r="D14" s="344"/>
      <c r="E14" s="344"/>
      <c r="F14" s="344"/>
      <c r="G14" s="225"/>
      <c r="H14" s="344"/>
      <c r="R14" s="32"/>
    </row>
    <row r="15" spans="1:18" x14ac:dyDescent="0.35">
      <c r="A15" s="57"/>
      <c r="B15" s="2" t="s">
        <v>12</v>
      </c>
      <c r="C15" s="157">
        <f>SUM(实际数据!$C$8:$C$10)</f>
        <v>275720</v>
      </c>
      <c r="D15" s="227">
        <f>SUM(预算数据!$C$8:$C$10)</f>
        <v>269965.32400000002</v>
      </c>
      <c r="E15" s="226">
        <f t="shared" ref="E15:F17" si="1">E6</f>
        <v>0.59541984732824427</v>
      </c>
      <c r="F15" s="146">
        <f t="shared" si="1"/>
        <v>3.7662000000000013</v>
      </c>
      <c r="H15" s="136">
        <f>(C15-D15)*E15*F15</f>
        <v>12904.689607584687</v>
      </c>
      <c r="R15" s="32"/>
    </row>
    <row r="16" spans="1:18" x14ac:dyDescent="0.35">
      <c r="A16" s="57"/>
      <c r="B16" s="2" t="s">
        <v>13</v>
      </c>
      <c r="C16" s="157">
        <f>SUM(实际数据!$C$8:$C$10)</f>
        <v>275720</v>
      </c>
      <c r="D16" s="227">
        <f>SUM(预算数据!$C$8:$C$10)</f>
        <v>269965.32400000002</v>
      </c>
      <c r="E16" s="226">
        <f t="shared" si="1"/>
        <v>0.24427480916030533</v>
      </c>
      <c r="F16" s="146">
        <f t="shared" si="1"/>
        <v>8.858746666666665</v>
      </c>
      <c r="H16" s="136">
        <f t="shared" ref="H16:H17" si="2">(C16-D16)*E16*F16</f>
        <v>12452.938462960967</v>
      </c>
      <c r="R16" s="32"/>
    </row>
    <row r="17" spans="1:18" ht="13.5" customHeight="1" x14ac:dyDescent="0.35">
      <c r="A17" s="57"/>
      <c r="B17" s="2" t="s">
        <v>14</v>
      </c>
      <c r="C17" s="157">
        <f>SUM(实际数据!$C$8:$C$10)</f>
        <v>275720</v>
      </c>
      <c r="D17" s="227">
        <f>SUM(预算数据!$C$8:$C$10)</f>
        <v>269965.32400000002</v>
      </c>
      <c r="E17" s="226">
        <f t="shared" si="1"/>
        <v>0.16030534351145037</v>
      </c>
      <c r="F17" s="146">
        <f t="shared" si="1"/>
        <v>8.825146666666658</v>
      </c>
      <c r="H17" s="140">
        <f t="shared" si="2"/>
        <v>8141.2446878020974</v>
      </c>
      <c r="R17" s="32"/>
    </row>
    <row r="18" spans="1:18" x14ac:dyDescent="0.35">
      <c r="A18" s="57"/>
      <c r="B18" s="2" t="s">
        <v>122</v>
      </c>
      <c r="H18" s="136">
        <f>SUM(H15:H17)</f>
        <v>33498.872758347752</v>
      </c>
      <c r="R18" s="32"/>
    </row>
    <row r="19" spans="1:18" x14ac:dyDescent="0.35">
      <c r="A19" s="57"/>
      <c r="R19" s="32"/>
    </row>
    <row r="20" spans="1:18" x14ac:dyDescent="0.35">
      <c r="A20" s="57" t="s">
        <v>134</v>
      </c>
      <c r="R20" s="32"/>
    </row>
    <row r="21" spans="1:18" ht="13.5" customHeight="1" x14ac:dyDescent="0.35">
      <c r="A21" s="57"/>
      <c r="C21" s="344" t="s">
        <v>388</v>
      </c>
      <c r="D21" s="344" t="s">
        <v>140</v>
      </c>
      <c r="E21" s="344" t="s">
        <v>134</v>
      </c>
      <c r="R21" s="32"/>
    </row>
    <row r="22" spans="1:18" x14ac:dyDescent="0.35">
      <c r="A22" s="57"/>
      <c r="C22" s="344"/>
      <c r="D22" s="344"/>
      <c r="E22" s="344"/>
      <c r="R22" s="32"/>
    </row>
    <row r="23" spans="1:18" x14ac:dyDescent="0.35">
      <c r="A23" s="57"/>
      <c r="B23" s="2" t="s">
        <v>12</v>
      </c>
      <c r="C23" s="228">
        <f>实际数据!C8*实际数据!C12</f>
        <v>5470080</v>
      </c>
      <c r="D23" s="228">
        <f>实际数据!C8*预算数据!C12</f>
        <v>5439000</v>
      </c>
      <c r="E23" s="228">
        <f>C23-D23</f>
        <v>31080</v>
      </c>
      <c r="R23" s="32"/>
    </row>
    <row r="24" spans="1:18" x14ac:dyDescent="0.35">
      <c r="A24" s="57"/>
      <c r="B24" s="2" t="s">
        <v>13</v>
      </c>
      <c r="C24" s="228">
        <f>实际数据!C9*实际数据!C13</f>
        <v>2971920</v>
      </c>
      <c r="D24" s="228">
        <f>实际数据!C9*预算数据!C13</f>
        <v>3006080</v>
      </c>
      <c r="E24" s="228">
        <f t="shared" ref="E24:E25" si="3">C24-D24</f>
        <v>-34160</v>
      </c>
      <c r="R24" s="32"/>
    </row>
    <row r="25" spans="1:18" ht="13.5" customHeight="1" x14ac:dyDescent="0.35">
      <c r="A25" s="57"/>
      <c r="B25" s="2" t="s">
        <v>14</v>
      </c>
      <c r="C25" s="228">
        <f>实际数据!C10*实际数据!C14</f>
        <v>3338400</v>
      </c>
      <c r="D25" s="228">
        <f>实际数据!C10*预算数据!C14</f>
        <v>3328000</v>
      </c>
      <c r="E25" s="229">
        <f t="shared" si="3"/>
        <v>10400</v>
      </c>
      <c r="R25" s="32"/>
    </row>
    <row r="26" spans="1:18" x14ac:dyDescent="0.35">
      <c r="A26" s="57"/>
      <c r="B26" s="2" t="s">
        <v>389</v>
      </c>
      <c r="C26" s="230"/>
      <c r="D26" s="230"/>
      <c r="E26" s="136">
        <f>SUM(E23:E25)</f>
        <v>7320</v>
      </c>
      <c r="R26" s="32"/>
    </row>
    <row r="27" spans="1:18" x14ac:dyDescent="0.35">
      <c r="A27" s="57"/>
      <c r="C27" s="230"/>
      <c r="D27" s="230"/>
      <c r="R27" s="32"/>
    </row>
    <row r="28" spans="1:18" x14ac:dyDescent="0.35">
      <c r="A28" s="57" t="s">
        <v>141</v>
      </c>
      <c r="R28" s="32"/>
    </row>
    <row r="29" spans="1:18" x14ac:dyDescent="0.35">
      <c r="A29" s="57"/>
      <c r="C29" s="344" t="s">
        <v>142</v>
      </c>
      <c r="D29" s="344" t="s">
        <v>143</v>
      </c>
      <c r="E29" s="344" t="s">
        <v>390</v>
      </c>
      <c r="F29" s="344" t="s">
        <v>391</v>
      </c>
      <c r="R29" s="32"/>
    </row>
    <row r="30" spans="1:18" s="225" customFormat="1" x14ac:dyDescent="0.35">
      <c r="A30" s="231"/>
      <c r="C30" s="344"/>
      <c r="D30" s="344"/>
      <c r="E30" s="344"/>
      <c r="F30" s="344"/>
      <c r="R30" s="232"/>
    </row>
    <row r="31" spans="1:18" x14ac:dyDescent="0.35">
      <c r="A31" s="31"/>
      <c r="B31" s="2" t="str">
        <f>预算数据!I4</f>
        <v>布料（尺）</v>
      </c>
      <c r="C31" s="156">
        <f>实际数据!D23</f>
        <v>945640</v>
      </c>
      <c r="D31" s="233">
        <f>预算数据!M4</f>
        <v>6</v>
      </c>
      <c r="E31" s="233">
        <f>实际数据!M4</f>
        <v>6.05</v>
      </c>
      <c r="F31" s="136">
        <f>C31*(D31-E31)</f>
        <v>-47281.999999999833</v>
      </c>
      <c r="R31" s="32"/>
    </row>
    <row r="32" spans="1:18" x14ac:dyDescent="0.35">
      <c r="A32" s="31"/>
      <c r="B32" s="2" t="str">
        <f>预算数据!I5</f>
        <v>拉链、铆钉（套）</v>
      </c>
      <c r="C32" s="156">
        <f>实际数据!D24</f>
        <v>285432</v>
      </c>
      <c r="D32" s="233">
        <f>预算数据!M5</f>
        <v>1.25</v>
      </c>
      <c r="E32" s="233">
        <f>实际数据!M5</f>
        <v>1.23</v>
      </c>
      <c r="F32" s="136">
        <f>C32*(D32-E32)</f>
        <v>5708.6400000000049</v>
      </c>
      <c r="R32" s="32"/>
    </row>
    <row r="33" spans="1:18" x14ac:dyDescent="0.35">
      <c r="A33" s="31"/>
      <c r="B33" s="2" t="str">
        <f>预算数据!I6</f>
        <v>刺绣针线（尺）</v>
      </c>
      <c r="C33" s="156">
        <f>实际数据!D25</f>
        <v>2502400</v>
      </c>
      <c r="D33" s="233">
        <f>预算数据!M6</f>
        <v>0.03</v>
      </c>
      <c r="E33" s="233">
        <f>实际数据!M6</f>
        <v>2.5000000000000001E-2</v>
      </c>
      <c r="F33" s="136">
        <f>C33*(D33-E33)</f>
        <v>12511.999999999995</v>
      </c>
      <c r="R33" s="32"/>
    </row>
    <row r="34" spans="1:18" x14ac:dyDescent="0.35">
      <c r="A34" s="31"/>
      <c r="B34" s="2" t="str">
        <f>预算数据!I7</f>
        <v>亮片饰物（套）</v>
      </c>
      <c r="C34" s="156">
        <f>实际数据!D26</f>
        <v>52975</v>
      </c>
      <c r="D34" s="233">
        <f>预算数据!M7</f>
        <v>8</v>
      </c>
      <c r="E34" s="233">
        <f>实际数据!M7</f>
        <v>7.95</v>
      </c>
      <c r="F34" s="140">
        <f>C34*(D34-E34)</f>
        <v>2648.7499999999905</v>
      </c>
      <c r="R34" s="32"/>
    </row>
    <row r="35" spans="1:18" x14ac:dyDescent="0.35">
      <c r="A35" s="31"/>
      <c r="B35" s="2" t="s">
        <v>392</v>
      </c>
      <c r="F35" s="136">
        <f>SUM(F31:F34)</f>
        <v>-26412.609999999844</v>
      </c>
      <c r="R35" s="32"/>
    </row>
    <row r="36" spans="1:18" x14ac:dyDescent="0.35">
      <c r="A36" s="31"/>
      <c r="R36" s="32"/>
    </row>
    <row r="37" spans="1:18" x14ac:dyDescent="0.35">
      <c r="A37" s="57" t="s">
        <v>393</v>
      </c>
      <c r="R37" s="32"/>
    </row>
    <row r="38" spans="1:18" s="235" customFormat="1" ht="13.5" customHeight="1" x14ac:dyDescent="0.35">
      <c r="A38" s="234"/>
      <c r="C38" s="235" t="s">
        <v>394</v>
      </c>
      <c r="H38" s="235" t="s">
        <v>395</v>
      </c>
      <c r="M38" s="344" t="s">
        <v>144</v>
      </c>
      <c r="O38" s="235" t="s">
        <v>135</v>
      </c>
      <c r="R38" s="236"/>
    </row>
    <row r="39" spans="1:18" s="54" customFormat="1" x14ac:dyDescent="0.35">
      <c r="A39" s="237"/>
      <c r="C39" s="54" t="s">
        <v>12</v>
      </c>
      <c r="D39" s="54" t="s">
        <v>13</v>
      </c>
      <c r="E39" s="54" t="s">
        <v>14</v>
      </c>
      <c r="F39" s="54" t="s">
        <v>396</v>
      </c>
      <c r="H39" s="54" t="s">
        <v>12</v>
      </c>
      <c r="I39" s="54" t="s">
        <v>13</v>
      </c>
      <c r="J39" s="54" t="s">
        <v>14</v>
      </c>
      <c r="K39" s="54" t="s">
        <v>396</v>
      </c>
      <c r="M39" s="344"/>
      <c r="O39" s="54" t="s">
        <v>12</v>
      </c>
      <c r="P39" s="54" t="s">
        <v>21</v>
      </c>
      <c r="Q39" s="54" t="s">
        <v>14</v>
      </c>
      <c r="R39" s="54" t="s">
        <v>122</v>
      </c>
    </row>
    <row r="40" spans="1:18" x14ac:dyDescent="0.35">
      <c r="A40" s="31"/>
      <c r="B40" s="2" t="str">
        <f>B31</f>
        <v>布料（尺）</v>
      </c>
      <c r="C40" s="156">
        <f>预算数据!J4*实际数据!D$30</f>
        <v>518400</v>
      </c>
      <c r="D40" s="156">
        <f>预算数据!K4*实际数据!D$31</f>
        <v>223281.5</v>
      </c>
      <c r="E40" s="156">
        <f>预算数据!L4*实际数据!D$32</f>
        <v>189707</v>
      </c>
      <c r="F40" s="156">
        <f>SUM(C40:E40)</f>
        <v>931388.5</v>
      </c>
      <c r="G40" s="230"/>
      <c r="H40" s="156">
        <f>实际数据!J4*实际数据!D$30</f>
        <v>520020</v>
      </c>
      <c r="I40" s="156">
        <f>实际数据!K4*实际数据!D$31</f>
        <v>226716.59999999998</v>
      </c>
      <c r="J40" s="156">
        <f>实际数据!L4*实际数据!D$32</f>
        <v>186996.90000000002</v>
      </c>
      <c r="K40" s="156">
        <f>SUM(H40:J40)</f>
        <v>933733.5</v>
      </c>
      <c r="M40" s="145">
        <f>D31</f>
        <v>6</v>
      </c>
      <c r="O40" s="136">
        <f>(C40-H40)*$M40</f>
        <v>-9720</v>
      </c>
      <c r="P40" s="136">
        <f t="shared" ref="P40:R43" si="4">(D40-I40)*$M40</f>
        <v>-20610.59999999986</v>
      </c>
      <c r="Q40" s="136">
        <f t="shared" si="4"/>
        <v>16260.59999999986</v>
      </c>
      <c r="R40" s="137">
        <f t="shared" si="4"/>
        <v>-14070</v>
      </c>
    </row>
    <row r="41" spans="1:18" x14ac:dyDescent="0.35">
      <c r="A41" s="31"/>
      <c r="B41" s="2" t="str">
        <f>B32</f>
        <v>拉链、铆钉（套）</v>
      </c>
      <c r="C41" s="156">
        <f>预算数据!J5*实际数据!D$30</f>
        <v>162000</v>
      </c>
      <c r="D41" s="156">
        <f>预算数据!K5*实际数据!D$31</f>
        <v>68702</v>
      </c>
      <c r="E41" s="156">
        <f>预算数据!L5*实际数据!D$32</f>
        <v>54202</v>
      </c>
      <c r="F41" s="156">
        <f>SUM(C41:E41)</f>
        <v>284904</v>
      </c>
      <c r="G41" s="230"/>
      <c r="H41" s="156">
        <f>实际数据!J5*实际数据!D$30</f>
        <v>162000</v>
      </c>
      <c r="I41" s="156">
        <f>实际数据!K5*实际数据!D$31</f>
        <v>68702</v>
      </c>
      <c r="J41" s="156">
        <f>实际数据!L5*实际数据!D$32</f>
        <v>54202</v>
      </c>
      <c r="K41" s="156">
        <f>SUM(H41:J41)</f>
        <v>284904</v>
      </c>
      <c r="M41" s="145">
        <f>D32</f>
        <v>1.25</v>
      </c>
      <c r="O41" s="136">
        <f>(C41-H41)*$M41</f>
        <v>0</v>
      </c>
      <c r="P41" s="136">
        <f t="shared" si="4"/>
        <v>0</v>
      </c>
      <c r="Q41" s="136">
        <f t="shared" si="4"/>
        <v>0</v>
      </c>
      <c r="R41" s="137">
        <f t="shared" si="4"/>
        <v>0</v>
      </c>
    </row>
    <row r="42" spans="1:18" x14ac:dyDescent="0.35">
      <c r="A42" s="31"/>
      <c r="B42" s="2" t="str">
        <f>B33</f>
        <v>刺绣针线（尺）</v>
      </c>
      <c r="C42" s="156">
        <f>预算数据!J6*实际数据!D$30</f>
        <v>486000</v>
      </c>
      <c r="D42" s="156">
        <f>预算数据!K6*实际数据!D$31</f>
        <v>1854954</v>
      </c>
      <c r="E42" s="156">
        <f>预算数据!L6*实际数据!D$32</f>
        <v>162606</v>
      </c>
      <c r="F42" s="156">
        <f>SUM(C42:E42)</f>
        <v>2503560</v>
      </c>
      <c r="G42" s="230"/>
      <c r="H42" s="156">
        <f>实际数据!J6*实际数据!D$30</f>
        <v>469800</v>
      </c>
      <c r="I42" s="156">
        <f>实际数据!K6*实际数据!D$31</f>
        <v>1820603</v>
      </c>
      <c r="J42" s="156">
        <f>实际数据!L6*实际数据!D$32</f>
        <v>168026.2</v>
      </c>
      <c r="K42" s="156">
        <f>SUM(H42:J42)</f>
        <v>2458429.2000000002</v>
      </c>
      <c r="M42" s="145">
        <f>D33</f>
        <v>0.03</v>
      </c>
      <c r="O42" s="136">
        <f>(C42-H42)*$M42</f>
        <v>486</v>
      </c>
      <c r="P42" s="136">
        <f t="shared" si="4"/>
        <v>1030.53</v>
      </c>
      <c r="Q42" s="136">
        <f t="shared" si="4"/>
        <v>-162.60600000000034</v>
      </c>
      <c r="R42" s="137">
        <f t="shared" si="4"/>
        <v>1353.9239999999943</v>
      </c>
    </row>
    <row r="43" spans="1:18" x14ac:dyDescent="0.35">
      <c r="A43" s="31"/>
      <c r="B43" s="2" t="str">
        <f>B34</f>
        <v>亮片饰物（套）</v>
      </c>
      <c r="C43" s="156">
        <f>预算数据!J7*实际数据!D$30</f>
        <v>0</v>
      </c>
      <c r="D43" s="156">
        <f>预算数据!K7*实际数据!D$31</f>
        <v>0</v>
      </c>
      <c r="E43" s="156">
        <f>预算数据!L7*实际数据!D$32</f>
        <v>54202</v>
      </c>
      <c r="F43" s="156">
        <f>SUM(C43:E43)</f>
        <v>54202</v>
      </c>
      <c r="G43" s="230"/>
      <c r="H43" s="156">
        <f>实际数据!J7*实际数据!D$30</f>
        <v>0</v>
      </c>
      <c r="I43" s="156">
        <f>实际数据!K7*实际数据!D$31</f>
        <v>0</v>
      </c>
      <c r="J43" s="156">
        <f>实际数据!L7*实际数据!D$32</f>
        <v>56912.100000000006</v>
      </c>
      <c r="K43" s="156">
        <f>SUM(H43:J43)</f>
        <v>56912.100000000006</v>
      </c>
      <c r="M43" s="145">
        <f>D34</f>
        <v>8</v>
      </c>
      <c r="O43" s="140">
        <f>(C43-H43)*$M43</f>
        <v>0</v>
      </c>
      <c r="P43" s="140">
        <f t="shared" si="4"/>
        <v>0</v>
      </c>
      <c r="Q43" s="140">
        <f t="shared" si="4"/>
        <v>-21680.800000000047</v>
      </c>
      <c r="R43" s="141">
        <f t="shared" si="4"/>
        <v>-21680.800000000047</v>
      </c>
    </row>
    <row r="44" spans="1:18" x14ac:dyDescent="0.35">
      <c r="A44" s="31"/>
      <c r="B44" s="2" t="s">
        <v>396</v>
      </c>
      <c r="O44" s="136">
        <f>SUM(O40:O43)</f>
        <v>-9234</v>
      </c>
      <c r="P44" s="136">
        <f>SUM(P40:P43)</f>
        <v>-19580.069999999861</v>
      </c>
      <c r="Q44" s="136">
        <f>SUM(Q40:Q43)</f>
        <v>-5582.806000000186</v>
      </c>
      <c r="R44" s="137">
        <f>SUM(R40:R43)</f>
        <v>-34396.876000000055</v>
      </c>
    </row>
    <row r="45" spans="1:18" x14ac:dyDescent="0.35">
      <c r="A45" s="31"/>
      <c r="R45" s="32"/>
    </row>
    <row r="46" spans="1:18" x14ac:dyDescent="0.35">
      <c r="A46" s="57" t="s">
        <v>397</v>
      </c>
      <c r="R46" s="32"/>
    </row>
    <row r="47" spans="1:18" x14ac:dyDescent="0.35">
      <c r="A47" s="57"/>
      <c r="C47" s="344" t="s">
        <v>398</v>
      </c>
      <c r="D47" s="344" t="s">
        <v>146</v>
      </c>
      <c r="E47" s="344" t="s">
        <v>399</v>
      </c>
      <c r="F47" s="344" t="s">
        <v>145</v>
      </c>
      <c r="R47" s="32"/>
    </row>
    <row r="48" spans="1:18" s="225" customFormat="1" x14ac:dyDescent="0.35">
      <c r="A48" s="231"/>
      <c r="C48" s="344"/>
      <c r="D48" s="344"/>
      <c r="E48" s="344"/>
      <c r="F48" s="344"/>
      <c r="R48" s="232"/>
    </row>
    <row r="49" spans="1:18" x14ac:dyDescent="0.35">
      <c r="A49" s="31"/>
      <c r="B49" s="2" t="str">
        <f>预算数据!I11</f>
        <v>裁减</v>
      </c>
      <c r="C49" s="156">
        <f>销售成本计算!J16/60</f>
        <v>55930.01666666667</v>
      </c>
      <c r="D49" s="233">
        <f>预算数据!M11</f>
        <v>18</v>
      </c>
      <c r="E49" s="233">
        <f>实际数据!M11</f>
        <v>18.100000000000001</v>
      </c>
      <c r="F49" s="136">
        <f>C49*(D49-E49)</f>
        <v>-5593.0016666667461</v>
      </c>
      <c r="R49" s="32"/>
    </row>
    <row r="50" spans="1:18" x14ac:dyDescent="0.35">
      <c r="A50" s="31"/>
      <c r="B50" s="2" t="str">
        <f>预算数据!I12</f>
        <v>刺绣</v>
      </c>
      <c r="C50" s="156">
        <f>销售成本计算!J17/60</f>
        <v>30053.193333333333</v>
      </c>
      <c r="D50" s="233">
        <f>预算数据!M12</f>
        <v>22</v>
      </c>
      <c r="E50" s="233">
        <f>实际数据!M12</f>
        <v>22.45</v>
      </c>
      <c r="F50" s="136">
        <f t="shared" ref="F50:F52" si="5">C50*(D50-E50)</f>
        <v>-13523.936999999978</v>
      </c>
      <c r="R50" s="32"/>
    </row>
    <row r="51" spans="1:18" x14ac:dyDescent="0.35">
      <c r="A51" s="31"/>
      <c r="B51" s="2" t="str">
        <f>预算数据!I13</f>
        <v>装饰</v>
      </c>
      <c r="C51" s="156">
        <f>销售成本计算!J18/60</f>
        <v>20325.75</v>
      </c>
      <c r="D51" s="233">
        <f>预算数据!M13</f>
        <v>26</v>
      </c>
      <c r="E51" s="233">
        <f>实际数据!M13</f>
        <v>27.15</v>
      </c>
      <c r="F51" s="136">
        <f t="shared" si="5"/>
        <v>-23374.61249999997</v>
      </c>
      <c r="R51" s="32"/>
    </row>
    <row r="52" spans="1:18" x14ac:dyDescent="0.35">
      <c r="A52" s="31"/>
      <c r="B52" s="2" t="str">
        <f>预算数据!I14</f>
        <v>组装</v>
      </c>
      <c r="C52" s="156">
        <f>销售成本计算!J19/60</f>
        <v>32015.693333333336</v>
      </c>
      <c r="D52" s="233">
        <f>预算数据!M14</f>
        <v>15</v>
      </c>
      <c r="E52" s="233">
        <f>实际数据!M14</f>
        <v>15.24</v>
      </c>
      <c r="F52" s="140">
        <f t="shared" si="5"/>
        <v>-7683.7664000000077</v>
      </c>
      <c r="R52" s="32"/>
    </row>
    <row r="53" spans="1:18" x14ac:dyDescent="0.35">
      <c r="A53" s="31"/>
      <c r="B53" s="2" t="s">
        <v>389</v>
      </c>
      <c r="F53" s="136">
        <f>SUM(F49:F52)</f>
        <v>-50175.317566666701</v>
      </c>
      <c r="R53" s="32"/>
    </row>
    <row r="54" spans="1:18" x14ac:dyDescent="0.35">
      <c r="A54" s="31"/>
      <c r="F54" s="126"/>
      <c r="R54" s="32"/>
    </row>
    <row r="55" spans="1:18" x14ac:dyDescent="0.35">
      <c r="A55" s="57" t="s">
        <v>136</v>
      </c>
      <c r="R55" s="32"/>
    </row>
    <row r="56" spans="1:18" s="235" customFormat="1" x14ac:dyDescent="0.35">
      <c r="A56" s="234"/>
      <c r="C56" s="235" t="s">
        <v>400</v>
      </c>
      <c r="H56" s="235" t="s">
        <v>401</v>
      </c>
      <c r="M56" s="344" t="s">
        <v>402</v>
      </c>
      <c r="O56" s="235" t="s">
        <v>403</v>
      </c>
      <c r="R56" s="236"/>
    </row>
    <row r="57" spans="1:18" s="54" customFormat="1" x14ac:dyDescent="0.35">
      <c r="A57" s="237"/>
      <c r="C57" s="54" t="s">
        <v>12</v>
      </c>
      <c r="D57" s="54" t="s">
        <v>13</v>
      </c>
      <c r="E57" s="54" t="s">
        <v>14</v>
      </c>
      <c r="F57" s="54" t="s">
        <v>122</v>
      </c>
      <c r="H57" s="54" t="s">
        <v>12</v>
      </c>
      <c r="I57" s="54" t="s">
        <v>13</v>
      </c>
      <c r="J57" s="54" t="s">
        <v>14</v>
      </c>
      <c r="K57" s="54" t="s">
        <v>122</v>
      </c>
      <c r="M57" s="344"/>
      <c r="O57" s="54" t="s">
        <v>12</v>
      </c>
      <c r="P57" s="54" t="s">
        <v>21</v>
      </c>
      <c r="Q57" s="54" t="s">
        <v>14</v>
      </c>
      <c r="R57" s="54" t="s">
        <v>389</v>
      </c>
    </row>
    <row r="58" spans="1:18" x14ac:dyDescent="0.35">
      <c r="A58" s="31"/>
      <c r="B58" s="2" t="str">
        <f>B49</f>
        <v>裁减</v>
      </c>
      <c r="C58" s="156">
        <f>实际数据!D$30*预算数据!J11/60</f>
        <v>29700</v>
      </c>
      <c r="D58" s="156">
        <f>实际数据!D$31*预算数据!K11/60</f>
        <v>13740.4</v>
      </c>
      <c r="E58" s="156">
        <f>实际数据!D$32*预算数据!L11/60</f>
        <v>12647.133333333333</v>
      </c>
      <c r="F58" s="156">
        <f>SUM(C58:E58)</f>
        <v>56087.533333333333</v>
      </c>
      <c r="H58" s="156">
        <f>销售成本计算!G16/60</f>
        <v>29970</v>
      </c>
      <c r="I58" s="156">
        <f>销售成本计算!H16/60</f>
        <v>13854.903333333332</v>
      </c>
      <c r="J58" s="156">
        <f>销售成本计算!I16/60</f>
        <v>12105.113333333335</v>
      </c>
      <c r="K58" s="156">
        <f>销售成本计算!J16/60</f>
        <v>55930.01666666667</v>
      </c>
      <c r="M58" s="145">
        <f>D49</f>
        <v>18</v>
      </c>
      <c r="O58" s="136">
        <f>(C58-H58)*$M58</f>
        <v>-4860</v>
      </c>
      <c r="P58" s="136">
        <f t="shared" ref="P58:R58" si="6">(D58-I58)*$M58</f>
        <v>-2061.0599999999795</v>
      </c>
      <c r="Q58" s="136">
        <f t="shared" si="6"/>
        <v>9756.3599999999751</v>
      </c>
      <c r="R58" s="137">
        <f t="shared" si="6"/>
        <v>2835.2999999999302</v>
      </c>
    </row>
    <row r="59" spans="1:18" x14ac:dyDescent="0.35">
      <c r="A59" s="31"/>
      <c r="B59" s="2" t="str">
        <f>B50</f>
        <v>刺绣</v>
      </c>
      <c r="C59" s="156">
        <f>实际数据!D$30*预算数据!J12/60</f>
        <v>13500</v>
      </c>
      <c r="D59" s="156">
        <f>实际数据!D$31*预算数据!K12/60</f>
        <v>8015.2333333333336</v>
      </c>
      <c r="E59" s="156">
        <f>实际数据!D$32*预算数据!L12/60</f>
        <v>8130.3</v>
      </c>
      <c r="F59" s="156">
        <f t="shared" ref="F59:F61" si="7">SUM(C59:E59)</f>
        <v>29645.533333333333</v>
      </c>
      <c r="H59" s="156">
        <f>销售成本计算!G17/60</f>
        <v>14040</v>
      </c>
      <c r="I59" s="156">
        <f>销售成本计算!H17/60</f>
        <v>8244.24</v>
      </c>
      <c r="J59" s="156">
        <f>销售成本计算!I17/60</f>
        <v>7768.9533333333329</v>
      </c>
      <c r="K59" s="156">
        <f>销售成本计算!J17/60</f>
        <v>30053.193333333333</v>
      </c>
      <c r="M59" s="145">
        <f t="shared" ref="M59:M61" si="8">D50</f>
        <v>22</v>
      </c>
      <c r="O59" s="136">
        <f t="shared" ref="O59:O61" si="9">(C59-H59)*$M59</f>
        <v>-11880</v>
      </c>
      <c r="P59" s="136">
        <f t="shared" ref="P59:P61" si="10">(D59-I59)*$M59</f>
        <v>-5038.1466666666565</v>
      </c>
      <c r="Q59" s="136">
        <f t="shared" ref="Q59:Q61" si="11">(E59-J59)*$M59</f>
        <v>7949.6266666666797</v>
      </c>
      <c r="R59" s="137">
        <f t="shared" ref="R59:R61" si="12">(F59-K59)*$M59</f>
        <v>-8968.5199999999968</v>
      </c>
    </row>
    <row r="60" spans="1:18" x14ac:dyDescent="0.35">
      <c r="A60" s="31"/>
      <c r="B60" s="2" t="str">
        <f>B51</f>
        <v>装饰</v>
      </c>
      <c r="C60" s="156">
        <f>实际数据!D$30*预算数据!J13/60</f>
        <v>0</v>
      </c>
      <c r="D60" s="156">
        <f>实际数据!D$31*预算数据!K13/60</f>
        <v>0</v>
      </c>
      <c r="E60" s="156">
        <f>实际数据!D$32*预算数据!L13/60</f>
        <v>17163.966666666667</v>
      </c>
      <c r="F60" s="156">
        <f t="shared" si="7"/>
        <v>17163.966666666667</v>
      </c>
      <c r="H60" s="156">
        <f>销售成本计算!G18/60</f>
        <v>0</v>
      </c>
      <c r="I60" s="156">
        <f>销售成本计算!H18/60</f>
        <v>0</v>
      </c>
      <c r="J60" s="156">
        <f>销售成本计算!I18/60</f>
        <v>20325.75</v>
      </c>
      <c r="K60" s="156">
        <f>销售成本计算!J18/60</f>
        <v>20325.75</v>
      </c>
      <c r="M60" s="145">
        <f t="shared" si="8"/>
        <v>26</v>
      </c>
      <c r="O60" s="136">
        <f t="shared" si="9"/>
        <v>0</v>
      </c>
      <c r="P60" s="136">
        <f t="shared" si="10"/>
        <v>0</v>
      </c>
      <c r="Q60" s="136">
        <f t="shared" si="11"/>
        <v>-82206.366666666654</v>
      </c>
      <c r="R60" s="137">
        <f t="shared" si="12"/>
        <v>-82206.366666666654</v>
      </c>
    </row>
    <row r="61" spans="1:18" x14ac:dyDescent="0.35">
      <c r="A61" s="31"/>
      <c r="B61" s="2" t="str">
        <f>B52</f>
        <v>组装</v>
      </c>
      <c r="C61" s="156">
        <f>实际数据!D$30*预算数据!J14/60</f>
        <v>16200</v>
      </c>
      <c r="D61" s="156">
        <f>实际数据!D$31*预算数据!K14/60</f>
        <v>9160.2666666666664</v>
      </c>
      <c r="E61" s="156">
        <f>实际数据!D$32*预算数据!L14/60</f>
        <v>7226.9333333333334</v>
      </c>
      <c r="F61" s="156">
        <f t="shared" si="7"/>
        <v>32587.200000000001</v>
      </c>
      <c r="H61" s="156">
        <f>销售成本计算!G19/60</f>
        <v>15930</v>
      </c>
      <c r="I61" s="156">
        <f>销售成本计算!H19/60</f>
        <v>8587.75</v>
      </c>
      <c r="J61" s="156">
        <f>销售成本计算!I19/60</f>
        <v>7497.9433333333336</v>
      </c>
      <c r="K61" s="156">
        <f>销售成本计算!J19/60</f>
        <v>32015.693333333336</v>
      </c>
      <c r="M61" s="238">
        <f t="shared" si="8"/>
        <v>15</v>
      </c>
      <c r="O61" s="140">
        <f t="shared" si="9"/>
        <v>4050</v>
      </c>
      <c r="P61" s="140">
        <f t="shared" si="10"/>
        <v>8587.7499999999964</v>
      </c>
      <c r="Q61" s="140">
        <f t="shared" si="11"/>
        <v>-4065.1500000000033</v>
      </c>
      <c r="R61" s="141">
        <f t="shared" si="12"/>
        <v>8572.5999999999658</v>
      </c>
    </row>
    <row r="62" spans="1:18" x14ac:dyDescent="0.35">
      <c r="A62" s="31"/>
      <c r="B62" s="2" t="s">
        <v>404</v>
      </c>
      <c r="O62" s="136">
        <f>SUM(O58:O61)</f>
        <v>-12690</v>
      </c>
      <c r="P62" s="136">
        <f t="shared" ref="P62:R62" si="13">SUM(P58:P61)</f>
        <v>1488.5433333333604</v>
      </c>
      <c r="Q62" s="136">
        <f t="shared" si="13"/>
        <v>-68565.53</v>
      </c>
      <c r="R62" s="137">
        <f t="shared" si="13"/>
        <v>-79766.986666666766</v>
      </c>
    </row>
    <row r="63" spans="1:18" x14ac:dyDescent="0.35">
      <c r="A63" s="31"/>
      <c r="R63" s="32"/>
    </row>
    <row r="64" spans="1:18" x14ac:dyDescent="0.35">
      <c r="A64" s="57" t="s">
        <v>405</v>
      </c>
      <c r="R64" s="32"/>
    </row>
    <row r="65" spans="1:18" s="235" customFormat="1" ht="13.5" customHeight="1" x14ac:dyDescent="0.35">
      <c r="A65" s="234"/>
      <c r="C65" s="235" t="s">
        <v>147</v>
      </c>
      <c r="H65" s="235" t="s">
        <v>401</v>
      </c>
      <c r="M65" s="344" t="s">
        <v>406</v>
      </c>
      <c r="O65" s="235" t="s">
        <v>137</v>
      </c>
      <c r="R65" s="236"/>
    </row>
    <row r="66" spans="1:18" s="235" customFormat="1" x14ac:dyDescent="0.35">
      <c r="A66" s="234"/>
      <c r="C66" s="54" t="s">
        <v>12</v>
      </c>
      <c r="D66" s="54" t="s">
        <v>13</v>
      </c>
      <c r="E66" s="54" t="s">
        <v>14</v>
      </c>
      <c r="F66" s="54" t="s">
        <v>122</v>
      </c>
      <c r="G66" s="54"/>
      <c r="H66" s="54" t="s">
        <v>12</v>
      </c>
      <c r="I66" s="54" t="s">
        <v>13</v>
      </c>
      <c r="J66" s="54" t="s">
        <v>14</v>
      </c>
      <c r="K66" s="54" t="s">
        <v>404</v>
      </c>
      <c r="L66" s="54"/>
      <c r="M66" s="344"/>
      <c r="N66" s="54"/>
      <c r="O66" s="54" t="s">
        <v>12</v>
      </c>
      <c r="P66" s="54" t="s">
        <v>21</v>
      </c>
      <c r="Q66" s="54" t="s">
        <v>14</v>
      </c>
      <c r="R66" s="54" t="s">
        <v>122</v>
      </c>
    </row>
    <row r="67" spans="1:18" x14ac:dyDescent="0.35">
      <c r="A67" s="31"/>
      <c r="B67" s="2" t="s">
        <v>407</v>
      </c>
      <c r="C67" s="156">
        <f>实际数据!D30*预算数据!K19/60</f>
        <v>21600</v>
      </c>
      <c r="D67" s="156">
        <f>实际数据!D31*预算数据!L19/60</f>
        <v>10305.299999999999</v>
      </c>
      <c r="E67" s="156">
        <f>实际数据!D32*预算数据!M19/60</f>
        <v>11743.766666666666</v>
      </c>
      <c r="F67" s="157">
        <f>SUM(C67:E67)</f>
        <v>43649.066666666666</v>
      </c>
      <c r="H67" s="156">
        <f>实际数据!D$30*实际数据!K19/60</f>
        <v>21707.999999999996</v>
      </c>
      <c r="I67" s="156">
        <f>实际数据!D$31*实际数据!L19/60</f>
        <v>9217.5183333333352</v>
      </c>
      <c r="J67" s="156">
        <f>实际数据!D$32*实际数据!M19/60</f>
        <v>11834.103333333333</v>
      </c>
      <c r="K67" s="157">
        <f t="shared" ref="K67:K68" si="14">SUM(H67:J67)</f>
        <v>42759.621666666666</v>
      </c>
      <c r="M67" s="233">
        <f>预算数据!I24</f>
        <v>7</v>
      </c>
      <c r="O67" s="136">
        <f>(C67-H67)*$M67</f>
        <v>-755.99999999997453</v>
      </c>
      <c r="P67" s="136">
        <f>(D67-I67)*$M67</f>
        <v>7614.4716666666482</v>
      </c>
      <c r="Q67" s="136">
        <f t="shared" ref="P67:Q68" si="15">(E67-J67)*$M67</f>
        <v>-632.35666666666293</v>
      </c>
      <c r="R67" s="137">
        <f>SUM(O67:Q67)</f>
        <v>6226.1150000000107</v>
      </c>
    </row>
    <row r="68" spans="1:18" x14ac:dyDescent="0.35">
      <c r="A68" s="31"/>
      <c r="B68" s="2" t="s">
        <v>408</v>
      </c>
      <c r="C68" s="156">
        <f>实际数据!D30*预算数据!K20/60</f>
        <v>13500</v>
      </c>
      <c r="D68" s="156">
        <f>实际数据!D31*预算数据!L20/60</f>
        <v>11450.333333333334</v>
      </c>
      <c r="E68" s="156">
        <f>实际数据!D32*预算数据!M20/60</f>
        <v>7226.9333333333334</v>
      </c>
      <c r="F68" s="157">
        <f t="shared" ref="F68" si="16">SUM(C68:E68)</f>
        <v>32177.26666666667</v>
      </c>
      <c r="H68" s="156">
        <f>实际数据!D$30*实际数据!K20/60</f>
        <v>13338.000000000002</v>
      </c>
      <c r="I68" s="156">
        <f>实际数据!D$31*实际数据!L20/60</f>
        <v>11278.578333333333</v>
      </c>
      <c r="J68" s="156">
        <f>实际数据!D$32*实际数据!M20/60</f>
        <v>7317.2699999999995</v>
      </c>
      <c r="K68" s="157">
        <f t="shared" si="14"/>
        <v>31933.848333333335</v>
      </c>
      <c r="M68" s="233">
        <f>M67</f>
        <v>7</v>
      </c>
      <c r="O68" s="136">
        <f>(C68-H68)*$M68</f>
        <v>1133.9999999999873</v>
      </c>
      <c r="P68" s="136">
        <f t="shared" si="15"/>
        <v>1202.2850000000071</v>
      </c>
      <c r="Q68" s="136">
        <f t="shared" si="15"/>
        <v>-632.35666666666293</v>
      </c>
      <c r="R68" s="137">
        <f t="shared" ref="R68:R69" si="17">SUM(O68:Q68)</f>
        <v>1703.9283333333315</v>
      </c>
    </row>
    <row r="69" spans="1:18" x14ac:dyDescent="0.35">
      <c r="A69" s="31"/>
      <c r="B69" s="2" t="s">
        <v>404</v>
      </c>
      <c r="C69" s="230"/>
      <c r="D69" s="230"/>
      <c r="E69" s="230"/>
      <c r="F69" s="239"/>
      <c r="H69" s="230"/>
      <c r="I69" s="230"/>
      <c r="J69" s="230"/>
      <c r="K69" s="239"/>
      <c r="O69" s="136">
        <f>SUM(O67:O68)</f>
        <v>378.00000000001273</v>
      </c>
      <c r="P69" s="136">
        <f t="shared" ref="P69:Q69" si="18">SUM(P67:P68)</f>
        <v>8816.7566666666553</v>
      </c>
      <c r="Q69" s="136">
        <f t="shared" si="18"/>
        <v>-1264.7133333333259</v>
      </c>
      <c r="R69" s="137">
        <f t="shared" si="17"/>
        <v>7930.0433333333422</v>
      </c>
    </row>
    <row r="70" spans="1:18" x14ac:dyDescent="0.35">
      <c r="A70" s="31"/>
      <c r="R70" s="32"/>
    </row>
    <row r="71" spans="1:18" x14ac:dyDescent="0.35">
      <c r="A71" s="57" t="s">
        <v>148</v>
      </c>
      <c r="R71" s="32"/>
    </row>
    <row r="72" spans="1:18" x14ac:dyDescent="0.35">
      <c r="A72" s="57"/>
      <c r="D72" s="344" t="s">
        <v>149</v>
      </c>
      <c r="E72" s="344" t="s">
        <v>409</v>
      </c>
      <c r="F72" s="344" t="s">
        <v>148</v>
      </c>
      <c r="R72" s="32"/>
    </row>
    <row r="73" spans="1:18" x14ac:dyDescent="0.35">
      <c r="A73" s="31"/>
      <c r="D73" s="344"/>
      <c r="E73" s="344"/>
      <c r="F73" s="344"/>
      <c r="R73" s="32"/>
    </row>
    <row r="74" spans="1:18" x14ac:dyDescent="0.35">
      <c r="A74" s="31"/>
      <c r="B74" s="2" t="s">
        <v>410</v>
      </c>
      <c r="D74" s="136">
        <f>SUM(K67:K68)*M68</f>
        <v>522854.29000000004</v>
      </c>
      <c r="E74" s="136">
        <f>实际数据!I24</f>
        <v>540400</v>
      </c>
      <c r="F74" s="136">
        <f>D74-E74</f>
        <v>-17545.709999999963</v>
      </c>
      <c r="H74" s="74"/>
      <c r="R74" s="32"/>
    </row>
    <row r="75" spans="1:18" x14ac:dyDescent="0.35">
      <c r="A75" s="31"/>
      <c r="R75" s="32"/>
    </row>
    <row r="76" spans="1:18" x14ac:dyDescent="0.35">
      <c r="A76" s="57" t="s">
        <v>150</v>
      </c>
      <c r="R76" s="32"/>
    </row>
    <row r="77" spans="1:18" x14ac:dyDescent="0.35">
      <c r="A77" s="31"/>
      <c r="C77" s="54" t="s">
        <v>12</v>
      </c>
      <c r="D77" s="54" t="s">
        <v>13</v>
      </c>
      <c r="E77" s="54" t="s">
        <v>14</v>
      </c>
      <c r="F77" s="54" t="s">
        <v>122</v>
      </c>
      <c r="R77" s="32"/>
    </row>
    <row r="78" spans="1:18" x14ac:dyDescent="0.35">
      <c r="A78" s="31"/>
      <c r="B78" s="2" t="s">
        <v>102</v>
      </c>
      <c r="C78" s="156">
        <f>实际数据!D30</f>
        <v>162000</v>
      </c>
      <c r="D78" s="156">
        <f>实际数据!D31</f>
        <v>68702</v>
      </c>
      <c r="E78" s="156">
        <f>实际数据!D32</f>
        <v>54202</v>
      </c>
      <c r="F78" s="42"/>
      <c r="R78" s="32"/>
    </row>
    <row r="79" spans="1:18" x14ac:dyDescent="0.35">
      <c r="A79" s="31"/>
      <c r="B79" s="2" t="s">
        <v>120</v>
      </c>
      <c r="C79" s="145">
        <f>销售成本计算!K8</f>
        <v>0.68502997447608538</v>
      </c>
      <c r="D79" s="145">
        <f>销售成本计算!K9</f>
        <v>1.0011976550035093</v>
      </c>
      <c r="E79" s="145">
        <f>销售成本计算!K10</f>
        <v>1.1065868818459841</v>
      </c>
      <c r="F79" s="42"/>
      <c r="R79" s="32"/>
    </row>
    <row r="80" spans="1:18" x14ac:dyDescent="0.35">
      <c r="A80" s="31"/>
      <c r="B80" s="2" t="s">
        <v>411</v>
      </c>
      <c r="C80" s="136">
        <f>C78*C79</f>
        <v>110974.85586512584</v>
      </c>
      <c r="D80" s="136">
        <f t="shared" ref="D80:E80" si="19">D78*D79</f>
        <v>68784.281294051092</v>
      </c>
      <c r="E80" s="136">
        <f t="shared" si="19"/>
        <v>59979.222169816028</v>
      </c>
      <c r="F80" s="136">
        <f>SUM(C80:E80)</f>
        <v>239738.35932899296</v>
      </c>
      <c r="R80" s="32"/>
    </row>
    <row r="81" spans="1:18" x14ac:dyDescent="0.35">
      <c r="A81" s="31"/>
      <c r="B81" s="2" t="s">
        <v>151</v>
      </c>
      <c r="C81" s="42"/>
      <c r="D81" s="42"/>
      <c r="E81" s="42"/>
      <c r="F81" s="240">
        <f>C90</f>
        <v>224700</v>
      </c>
      <c r="R81" s="32"/>
    </row>
    <row r="82" spans="1:18" x14ac:dyDescent="0.35">
      <c r="A82" s="31"/>
      <c r="B82" s="2" t="s">
        <v>412</v>
      </c>
      <c r="C82" s="42"/>
      <c r="D82" s="42"/>
      <c r="E82" s="42"/>
      <c r="F82" s="136">
        <f>F80-F81</f>
        <v>15038.359328992956</v>
      </c>
      <c r="R82" s="32"/>
    </row>
    <row r="83" spans="1:18" x14ac:dyDescent="0.35">
      <c r="A83" s="31"/>
      <c r="C83" s="42"/>
      <c r="D83" s="42"/>
      <c r="E83" s="42"/>
      <c r="R83" s="32"/>
    </row>
    <row r="84" spans="1:18" x14ac:dyDescent="0.35">
      <c r="A84" s="57" t="s">
        <v>413</v>
      </c>
      <c r="R84" s="32"/>
    </row>
    <row r="85" spans="1:18" x14ac:dyDescent="0.35">
      <c r="A85" s="57"/>
      <c r="C85" s="344" t="s">
        <v>414</v>
      </c>
      <c r="D85" s="344" t="s">
        <v>153</v>
      </c>
      <c r="E85" s="344" t="s">
        <v>415</v>
      </c>
      <c r="R85" s="32"/>
    </row>
    <row r="86" spans="1:18" x14ac:dyDescent="0.35">
      <c r="A86" s="31"/>
      <c r="C86" s="344"/>
      <c r="D86" s="344"/>
      <c r="E86" s="344"/>
      <c r="R86" s="32"/>
    </row>
    <row r="87" spans="1:18" x14ac:dyDescent="0.35">
      <c r="A87" s="31"/>
      <c r="B87" s="42" t="str">
        <f>预算数据!J26</f>
        <v>管理费用</v>
      </c>
      <c r="C87" s="136">
        <f>预算数据!I26</f>
        <v>54000</v>
      </c>
      <c r="D87" s="136">
        <f>实际数据!I26</f>
        <v>54520</v>
      </c>
      <c r="E87" s="136">
        <f>C87-D87</f>
        <v>-520</v>
      </c>
      <c r="R87" s="32"/>
    </row>
    <row r="88" spans="1:18" x14ac:dyDescent="0.35">
      <c r="A88" s="31"/>
      <c r="B88" s="42" t="str">
        <f>预算数据!J27</f>
        <v>折旧</v>
      </c>
      <c r="C88" s="136">
        <f>预算数据!I27</f>
        <v>69900</v>
      </c>
      <c r="D88" s="136">
        <f>实际数据!I27</f>
        <v>69900</v>
      </c>
      <c r="E88" s="136">
        <f t="shared" ref="E88:E89" si="20">C88-D88</f>
        <v>0</v>
      </c>
      <c r="R88" s="32"/>
    </row>
    <row r="89" spans="1:18" x14ac:dyDescent="0.35">
      <c r="A89" s="31"/>
      <c r="B89" s="42" t="s">
        <v>155</v>
      </c>
      <c r="C89" s="140">
        <f>预算数据!I28</f>
        <v>100800</v>
      </c>
      <c r="D89" s="140">
        <f>实际数据!I28</f>
        <v>112454</v>
      </c>
      <c r="E89" s="140">
        <f t="shared" si="20"/>
        <v>-11654</v>
      </c>
      <c r="R89" s="32"/>
    </row>
    <row r="90" spans="1:18" x14ac:dyDescent="0.35">
      <c r="A90" s="31"/>
      <c r="B90" s="2" t="s">
        <v>404</v>
      </c>
      <c r="C90" s="136">
        <f>SUM(C87:C89)</f>
        <v>224700</v>
      </c>
      <c r="D90" s="136">
        <f t="shared" ref="D90:E90" si="21">SUM(D87:D89)</f>
        <v>236874</v>
      </c>
      <c r="E90" s="136">
        <f t="shared" si="21"/>
        <v>-12174</v>
      </c>
      <c r="R90" s="241"/>
    </row>
    <row r="91" spans="1:18" x14ac:dyDescent="0.35">
      <c r="A91" s="31"/>
      <c r="B91" s="42"/>
      <c r="R91" s="32"/>
    </row>
    <row r="92" spans="1:18" x14ac:dyDescent="0.35">
      <c r="A92" s="57" t="s">
        <v>156</v>
      </c>
      <c r="R92" s="32"/>
    </row>
    <row r="93" spans="1:18" x14ac:dyDescent="0.35">
      <c r="A93" s="57"/>
      <c r="C93" s="242" t="s">
        <v>22</v>
      </c>
      <c r="D93" s="242" t="s">
        <v>23</v>
      </c>
      <c r="E93" s="243" t="s">
        <v>24</v>
      </c>
      <c r="R93" s="32"/>
    </row>
    <row r="94" spans="1:18" x14ac:dyDescent="0.35">
      <c r="A94" s="57"/>
      <c r="C94" s="344" t="s">
        <v>416</v>
      </c>
      <c r="D94" s="344" t="s">
        <v>417</v>
      </c>
      <c r="E94" s="344" t="s">
        <v>157</v>
      </c>
      <c r="R94" s="32"/>
    </row>
    <row r="95" spans="1:18" x14ac:dyDescent="0.35">
      <c r="A95" s="57"/>
      <c r="C95" s="344"/>
      <c r="D95" s="344"/>
      <c r="E95" s="344"/>
      <c r="R95" s="32"/>
    </row>
    <row r="96" spans="1:18" x14ac:dyDescent="0.35">
      <c r="A96" s="57"/>
      <c r="C96" s="344"/>
      <c r="D96" s="344"/>
      <c r="E96" s="344"/>
      <c r="R96" s="32"/>
    </row>
    <row r="97" spans="1:18" x14ac:dyDescent="0.35">
      <c r="A97" s="57"/>
      <c r="C97" s="344"/>
      <c r="D97" s="344"/>
      <c r="E97" s="344"/>
      <c r="R97" s="32"/>
    </row>
    <row r="98" spans="1:18" s="138" customFormat="1" x14ac:dyDescent="0.35">
      <c r="A98" s="244"/>
      <c r="C98" s="344"/>
      <c r="D98" s="344"/>
      <c r="E98" s="344"/>
      <c r="G98" s="2"/>
      <c r="H98" s="2"/>
      <c r="R98" s="245"/>
    </row>
    <row r="99" spans="1:18" x14ac:dyDescent="0.35">
      <c r="A99" s="31"/>
      <c r="B99" s="2" t="s">
        <v>418</v>
      </c>
      <c r="C99" s="136">
        <f>-利润表!D6</f>
        <v>353192.4</v>
      </c>
      <c r="D99" s="136">
        <f>预算数据!J33*利润表!F7</f>
        <v>343516.46400000004</v>
      </c>
      <c r="E99" s="136">
        <f>-利润表!F6</f>
        <v>329851.2</v>
      </c>
      <c r="R99" s="32"/>
    </row>
    <row r="100" spans="1:18" x14ac:dyDescent="0.35">
      <c r="A100" s="31"/>
      <c r="B100" s="2" t="s">
        <v>110</v>
      </c>
      <c r="C100" s="136">
        <f>预算数据!J34*利润表!D7</f>
        <v>342596.62799999997</v>
      </c>
      <c r="D100" s="136">
        <f>预算数据!J34*利润表!F7</f>
        <v>343516.46400000004</v>
      </c>
      <c r="E100" s="136">
        <f>实际数据!J34*利润表!F7</f>
        <v>343516.46400000004</v>
      </c>
      <c r="R100" s="32"/>
    </row>
    <row r="101" spans="1:18" x14ac:dyDescent="0.35">
      <c r="A101" s="31"/>
      <c r="B101" s="2" t="s">
        <v>158</v>
      </c>
      <c r="C101" s="140">
        <f>预算数据!J35*利润表!D7</f>
        <v>159878.4264</v>
      </c>
      <c r="D101" s="140">
        <f>预算数据!J35*利润表!F7</f>
        <v>160307.6832</v>
      </c>
      <c r="E101" s="140">
        <f>实际数据!J35*利润表!F7</f>
        <v>160307.6832</v>
      </c>
      <c r="R101" s="32"/>
    </row>
    <row r="102" spans="1:18" x14ac:dyDescent="0.35">
      <c r="A102" s="31"/>
      <c r="B102" s="2" t="s">
        <v>122</v>
      </c>
      <c r="C102" s="136">
        <f>SUM(C99:C101)</f>
        <v>855667.45439999993</v>
      </c>
      <c r="D102" s="136">
        <f t="shared" ref="D102:E102" si="22">SUM(D99:D101)</f>
        <v>847340.61120000004</v>
      </c>
      <c r="E102" s="136">
        <f t="shared" si="22"/>
        <v>833675.34720000008</v>
      </c>
      <c r="R102" s="32"/>
    </row>
    <row r="103" spans="1:18" x14ac:dyDescent="0.35">
      <c r="A103" s="31"/>
      <c r="C103" s="126"/>
      <c r="D103" s="126"/>
      <c r="E103" s="126"/>
      <c r="R103" s="32"/>
    </row>
    <row r="104" spans="1:18" x14ac:dyDescent="0.35">
      <c r="A104" s="31"/>
      <c r="C104" s="246" t="s">
        <v>25</v>
      </c>
      <c r="D104" s="246" t="s">
        <v>26</v>
      </c>
      <c r="E104" s="246" t="s">
        <v>27</v>
      </c>
      <c r="R104" s="32"/>
    </row>
    <row r="105" spans="1:18" x14ac:dyDescent="0.35">
      <c r="A105" s="31"/>
      <c r="C105" s="346" t="s">
        <v>159</v>
      </c>
      <c r="D105" s="346" t="s">
        <v>160</v>
      </c>
      <c r="E105" s="346" t="s">
        <v>161</v>
      </c>
      <c r="R105" s="32"/>
    </row>
    <row r="106" spans="1:18" x14ac:dyDescent="0.35">
      <c r="A106" s="31"/>
      <c r="C106" s="346"/>
      <c r="D106" s="346"/>
      <c r="E106" s="346"/>
      <c r="R106" s="32"/>
    </row>
    <row r="107" spans="1:18" s="128" customFormat="1" x14ac:dyDescent="0.35">
      <c r="A107" s="247"/>
      <c r="C107" s="346"/>
      <c r="D107" s="346"/>
      <c r="E107" s="346"/>
      <c r="G107" s="2"/>
      <c r="H107" s="2"/>
      <c r="R107" s="248"/>
    </row>
    <row r="108" spans="1:18" x14ac:dyDescent="0.35">
      <c r="A108" s="31"/>
      <c r="B108" s="2" t="str">
        <f>B99</f>
        <v>退回、折让和折扣</v>
      </c>
      <c r="C108" s="136">
        <f t="shared" ref="C108:D110" si="23">C99-D99</f>
        <v>9675.935999999987</v>
      </c>
      <c r="D108" s="136">
        <f t="shared" si="23"/>
        <v>13665.264000000025</v>
      </c>
      <c r="E108" s="136">
        <f>C99-E99</f>
        <v>23341.200000000012</v>
      </c>
      <c r="G108" s="126"/>
      <c r="R108" s="32"/>
    </row>
    <row r="109" spans="1:18" x14ac:dyDescent="0.35">
      <c r="A109" s="31"/>
      <c r="B109" s="2" t="str">
        <f>B100</f>
        <v>佣金</v>
      </c>
      <c r="C109" s="136">
        <f t="shared" si="23"/>
        <v>-919.83600000006845</v>
      </c>
      <c r="D109" s="136">
        <f t="shared" si="23"/>
        <v>0</v>
      </c>
      <c r="E109" s="136">
        <f>C100-E100</f>
        <v>-919.83600000006845</v>
      </c>
      <c r="G109" s="126"/>
      <c r="R109" s="32"/>
    </row>
    <row r="110" spans="1:18" x14ac:dyDescent="0.35">
      <c r="A110" s="31"/>
      <c r="B110" s="2" t="str">
        <f>B101</f>
        <v>坏账</v>
      </c>
      <c r="C110" s="140">
        <f t="shared" si="23"/>
        <v>-429.25680000000284</v>
      </c>
      <c r="D110" s="140">
        <f t="shared" si="23"/>
        <v>0</v>
      </c>
      <c r="E110" s="140">
        <f>C101-E101</f>
        <v>-429.25680000000284</v>
      </c>
      <c r="G110" s="126"/>
      <c r="R110" s="32"/>
    </row>
    <row r="111" spans="1:18" x14ac:dyDescent="0.35">
      <c r="A111" s="31"/>
      <c r="B111" s="2" t="s">
        <v>404</v>
      </c>
      <c r="C111" s="136">
        <f t="shared" ref="C111:D111" si="24">C102-D102</f>
        <v>8326.8431999998866</v>
      </c>
      <c r="D111" s="136">
        <f t="shared" si="24"/>
        <v>13665.263999999966</v>
      </c>
      <c r="E111" s="136">
        <f>C102-E102</f>
        <v>21992.107199999853</v>
      </c>
      <c r="G111" s="126"/>
      <c r="R111" s="32"/>
    </row>
    <row r="112" spans="1:18" x14ac:dyDescent="0.35">
      <c r="A112" s="31"/>
      <c r="G112" s="126"/>
      <c r="R112" s="32"/>
    </row>
    <row r="113" spans="1:18" x14ac:dyDescent="0.35">
      <c r="A113" s="31"/>
      <c r="R113" s="32"/>
    </row>
    <row r="114" spans="1:18" x14ac:dyDescent="0.35">
      <c r="A114" s="57" t="s">
        <v>419</v>
      </c>
      <c r="R114" s="32"/>
    </row>
    <row r="115" spans="1:18" x14ac:dyDescent="0.35">
      <c r="A115" s="57"/>
      <c r="C115" s="344" t="s">
        <v>152</v>
      </c>
      <c r="D115" s="344" t="s">
        <v>420</v>
      </c>
      <c r="E115" s="344" t="s">
        <v>162</v>
      </c>
      <c r="R115" s="32"/>
    </row>
    <row r="116" spans="1:18" x14ac:dyDescent="0.35">
      <c r="A116" s="57"/>
      <c r="C116" s="344"/>
      <c r="D116" s="344"/>
      <c r="E116" s="344"/>
      <c r="R116" s="32"/>
    </row>
    <row r="117" spans="1:18" s="128" customFormat="1" x14ac:dyDescent="0.35">
      <c r="A117" s="247"/>
      <c r="C117" s="344"/>
      <c r="D117" s="344"/>
      <c r="E117" s="344"/>
      <c r="R117" s="248"/>
    </row>
    <row r="118" spans="1:18" x14ac:dyDescent="0.35">
      <c r="A118" s="31"/>
      <c r="B118" s="2" t="str">
        <f>预算数据!J37</f>
        <v>办公费</v>
      </c>
      <c r="C118" s="136">
        <f>预算数据!I37</f>
        <v>78000</v>
      </c>
      <c r="D118" s="136">
        <f>实际数据!I37</f>
        <v>77500.45</v>
      </c>
      <c r="E118" s="136">
        <f>C118-D118</f>
        <v>499.55000000000291</v>
      </c>
      <c r="R118" s="32"/>
    </row>
    <row r="119" spans="1:18" x14ac:dyDescent="0.35">
      <c r="A119" s="31"/>
      <c r="B119" s="2" t="str">
        <f>预算数据!J38</f>
        <v>折旧</v>
      </c>
      <c r="C119" s="136">
        <f>预算数据!I38</f>
        <v>297900</v>
      </c>
      <c r="D119" s="136">
        <f>实际数据!I38</f>
        <v>302000</v>
      </c>
      <c r="E119" s="136">
        <f t="shared" ref="E119:E120" si="25">C119-D119</f>
        <v>-4100</v>
      </c>
      <c r="R119" s="32"/>
    </row>
    <row r="120" spans="1:18" x14ac:dyDescent="0.35">
      <c r="A120" s="31"/>
      <c r="B120" s="2" t="str">
        <f>预算数据!J39</f>
        <v>员工工资和福利费</v>
      </c>
      <c r="C120" s="140">
        <f>预算数据!I39</f>
        <v>168000</v>
      </c>
      <c r="D120" s="140">
        <f>实际数据!I39</f>
        <v>165402.34</v>
      </c>
      <c r="E120" s="140">
        <f t="shared" si="25"/>
        <v>2597.6600000000035</v>
      </c>
      <c r="R120" s="32"/>
    </row>
    <row r="121" spans="1:18" x14ac:dyDescent="0.35">
      <c r="A121" s="31"/>
      <c r="B121" s="2" t="s">
        <v>392</v>
      </c>
      <c r="C121" s="136">
        <f>SUM(C118:C120)</f>
        <v>543900</v>
      </c>
      <c r="D121" s="136">
        <f t="shared" ref="D121:E121" si="26">SUM(D118:D120)</f>
        <v>544902.79</v>
      </c>
      <c r="E121" s="136">
        <f t="shared" si="26"/>
        <v>-1002.7899999999936</v>
      </c>
      <c r="R121" s="32"/>
    </row>
    <row r="122" spans="1:18" x14ac:dyDescent="0.35">
      <c r="A122" s="44"/>
      <c r="B122" s="45"/>
      <c r="C122" s="45"/>
      <c r="D122" s="45"/>
      <c r="E122" s="45"/>
      <c r="F122" s="45"/>
      <c r="G122" s="45"/>
      <c r="H122" s="45"/>
      <c r="I122" s="45"/>
      <c r="J122" s="45"/>
      <c r="K122" s="45"/>
      <c r="L122" s="45"/>
      <c r="M122" s="45"/>
      <c r="N122" s="45"/>
      <c r="O122" s="45"/>
      <c r="P122" s="45"/>
      <c r="Q122" s="45"/>
      <c r="R122" s="46"/>
    </row>
    <row r="124" spans="1:18" x14ac:dyDescent="0.35">
      <c r="A124" s="249" t="s">
        <v>163</v>
      </c>
      <c r="B124" s="49"/>
      <c r="C124" s="250"/>
    </row>
    <row r="125" spans="1:18" x14ac:dyDescent="0.35">
      <c r="A125" s="31"/>
      <c r="C125" s="32"/>
    </row>
    <row r="126" spans="1:18" x14ac:dyDescent="0.35">
      <c r="A126" s="31"/>
      <c r="B126" s="2" t="s">
        <v>421</v>
      </c>
      <c r="C126" s="251">
        <f>H9</f>
        <v>44395.257563358697</v>
      </c>
    </row>
    <row r="127" spans="1:18" x14ac:dyDescent="0.35">
      <c r="A127" s="31"/>
      <c r="B127" s="2" t="s">
        <v>138</v>
      </c>
      <c r="C127" s="251">
        <f>H18</f>
        <v>33498.872758347752</v>
      </c>
    </row>
    <row r="128" spans="1:18" x14ac:dyDescent="0.35">
      <c r="A128" s="31"/>
      <c r="B128" s="2" t="s">
        <v>422</v>
      </c>
      <c r="C128" s="251">
        <f>E26</f>
        <v>7320</v>
      </c>
    </row>
    <row r="129" spans="1:4" x14ac:dyDescent="0.35">
      <c r="A129" s="44"/>
      <c r="B129" s="45" t="s">
        <v>423</v>
      </c>
      <c r="C129" s="252">
        <f>SUM(C126:C128)</f>
        <v>85214.130321706441</v>
      </c>
    </row>
    <row r="130" spans="1:4" x14ac:dyDescent="0.35">
      <c r="C130" s="168"/>
    </row>
    <row r="131" spans="1:4" x14ac:dyDescent="0.35">
      <c r="A131" s="249" t="s">
        <v>424</v>
      </c>
      <c r="B131" s="49"/>
      <c r="C131" s="250"/>
    </row>
    <row r="132" spans="1:4" x14ac:dyDescent="0.35">
      <c r="A132" s="31"/>
      <c r="C132" s="32"/>
    </row>
    <row r="133" spans="1:4" x14ac:dyDescent="0.35">
      <c r="A133" s="31"/>
      <c r="B133" s="2" t="s">
        <v>425</v>
      </c>
      <c r="C133" s="137">
        <f>F35</f>
        <v>-26412.609999999844</v>
      </c>
    </row>
    <row r="134" spans="1:4" x14ac:dyDescent="0.35">
      <c r="A134" s="31"/>
      <c r="B134" s="2" t="s">
        <v>135</v>
      </c>
      <c r="C134" s="137">
        <f>R44</f>
        <v>-34396.876000000055</v>
      </c>
    </row>
    <row r="135" spans="1:4" x14ac:dyDescent="0.35">
      <c r="A135" s="31"/>
      <c r="B135" s="2" t="s">
        <v>426</v>
      </c>
      <c r="C135" s="137">
        <f>F53</f>
        <v>-50175.317566666701</v>
      </c>
    </row>
    <row r="136" spans="1:4" x14ac:dyDescent="0.35">
      <c r="A136" s="31"/>
      <c r="B136" s="2" t="s">
        <v>427</v>
      </c>
      <c r="C136" s="137">
        <f>R62</f>
        <v>-79766.986666666766</v>
      </c>
    </row>
    <row r="137" spans="1:4" x14ac:dyDescent="0.35">
      <c r="A137" s="31"/>
      <c r="B137" s="2" t="s">
        <v>428</v>
      </c>
      <c r="C137" s="137">
        <f>R69</f>
        <v>7930.0433333333422</v>
      </c>
    </row>
    <row r="138" spans="1:4" x14ac:dyDescent="0.35">
      <c r="A138" s="31"/>
      <c r="B138" s="2" t="s">
        <v>164</v>
      </c>
      <c r="C138" s="137">
        <f>F74</f>
        <v>-17545.709999999963</v>
      </c>
    </row>
    <row r="139" spans="1:4" x14ac:dyDescent="0.35">
      <c r="A139" s="31"/>
      <c r="B139" s="2" t="s">
        <v>429</v>
      </c>
      <c r="C139" s="137">
        <f>-F157</f>
        <v>15038.359328992956</v>
      </c>
    </row>
    <row r="140" spans="1:4" x14ac:dyDescent="0.35">
      <c r="A140" s="31"/>
      <c r="B140" s="2" t="s">
        <v>430</v>
      </c>
      <c r="C140" s="141">
        <f>E90</f>
        <v>-12174</v>
      </c>
    </row>
    <row r="141" spans="1:4" x14ac:dyDescent="0.35">
      <c r="A141" s="44"/>
      <c r="B141" s="45" t="s">
        <v>431</v>
      </c>
      <c r="C141" s="253">
        <f>SUM(C133:C140)</f>
        <v>-197503.09757100703</v>
      </c>
      <c r="D141" s="74"/>
    </row>
    <row r="143" spans="1:4" x14ac:dyDescent="0.35">
      <c r="A143" s="249" t="s">
        <v>432</v>
      </c>
      <c r="B143" s="49"/>
      <c r="C143" s="250"/>
    </row>
    <row r="144" spans="1:4" x14ac:dyDescent="0.35">
      <c r="A144" s="57"/>
      <c r="C144" s="32"/>
    </row>
    <row r="145" spans="1:15" x14ac:dyDescent="0.35">
      <c r="A145" s="31"/>
      <c r="B145" s="2" t="s">
        <v>156</v>
      </c>
      <c r="C145" s="137">
        <f>E111</f>
        <v>21992.107199999853</v>
      </c>
    </row>
    <row r="146" spans="1:15" x14ac:dyDescent="0.35">
      <c r="A146" s="31"/>
      <c r="B146" s="2" t="s">
        <v>165</v>
      </c>
      <c r="C146" s="141">
        <f>E121</f>
        <v>-1002.7899999999936</v>
      </c>
      <c r="D146" s="74"/>
    </row>
    <row r="147" spans="1:15" x14ac:dyDescent="0.35">
      <c r="A147" s="44"/>
      <c r="B147" s="45" t="s">
        <v>166</v>
      </c>
      <c r="C147" s="162">
        <f>C145+C146</f>
        <v>20989.317199999859</v>
      </c>
    </row>
    <row r="149" spans="1:15" x14ac:dyDescent="0.35">
      <c r="A149" s="254" t="s">
        <v>433</v>
      </c>
      <c r="B149" s="255"/>
      <c r="C149" s="255"/>
      <c r="D149" s="255"/>
      <c r="E149" s="255"/>
      <c r="F149" s="255"/>
      <c r="G149" s="255"/>
      <c r="H149" s="256"/>
      <c r="J149" s="254" t="s">
        <v>167</v>
      </c>
      <c r="K149" s="257"/>
      <c r="L149" s="257"/>
      <c r="M149" s="255"/>
      <c r="N149" s="255"/>
      <c r="O149" s="258"/>
    </row>
    <row r="150" spans="1:15" x14ac:dyDescent="0.35">
      <c r="A150" s="259"/>
      <c r="B150" s="9"/>
      <c r="C150" s="9"/>
      <c r="D150" s="9"/>
      <c r="E150" s="9"/>
      <c r="F150" s="9"/>
      <c r="G150" s="9"/>
      <c r="H150" s="10"/>
      <c r="J150" s="353"/>
      <c r="K150" s="354"/>
      <c r="L150" s="354"/>
      <c r="M150" s="354"/>
      <c r="N150" s="9"/>
      <c r="O150" s="260"/>
    </row>
    <row r="151" spans="1:15" x14ac:dyDescent="0.35">
      <c r="A151" s="261"/>
      <c r="B151" s="262"/>
      <c r="C151" s="9"/>
      <c r="D151" s="9"/>
      <c r="E151" s="263" t="s">
        <v>434</v>
      </c>
      <c r="F151" s="263" t="s">
        <v>435</v>
      </c>
      <c r="G151" s="17"/>
      <c r="H151" s="264" t="s">
        <v>436</v>
      </c>
      <c r="J151" s="349" t="s">
        <v>126</v>
      </c>
      <c r="K151" s="350"/>
      <c r="L151" s="350"/>
      <c r="M151" s="350"/>
      <c r="N151" s="9"/>
      <c r="O151" s="137">
        <f>利润表!F19</f>
        <v>11780400</v>
      </c>
    </row>
    <row r="152" spans="1:15" x14ac:dyDescent="0.35">
      <c r="A152" s="265" t="s">
        <v>168</v>
      </c>
      <c r="B152" s="266"/>
      <c r="C152" s="9"/>
      <c r="D152" s="9"/>
      <c r="E152" s="9"/>
      <c r="F152" s="9"/>
      <c r="G152" s="9"/>
      <c r="H152" s="10"/>
      <c r="J152" s="349" t="s">
        <v>169</v>
      </c>
      <c r="K152" s="350"/>
      <c r="L152" s="350"/>
      <c r="M152" s="350"/>
      <c r="N152" s="9"/>
      <c r="O152" s="141">
        <f>利润表!F20</f>
        <v>-329851.2</v>
      </c>
    </row>
    <row r="153" spans="1:15" x14ac:dyDescent="0.35">
      <c r="A153" s="259" t="s">
        <v>170</v>
      </c>
      <c r="B153" s="9"/>
      <c r="C153" s="9"/>
      <c r="D153" s="9"/>
      <c r="E153" s="136">
        <f>销售成本计算!B38</f>
        <v>224700.00000000009</v>
      </c>
      <c r="F153" s="136">
        <f>E153</f>
        <v>224700.00000000009</v>
      </c>
      <c r="G153" s="9"/>
      <c r="H153" s="137">
        <f>销售成本计算!D38</f>
        <v>236874</v>
      </c>
      <c r="J153" s="349" t="s">
        <v>437</v>
      </c>
      <c r="K153" s="350"/>
      <c r="L153" s="350"/>
      <c r="M153" s="350"/>
      <c r="N153" s="9"/>
      <c r="O153" s="137">
        <f>利润表!F21</f>
        <v>11450548.800000001</v>
      </c>
    </row>
    <row r="154" spans="1:15" x14ac:dyDescent="0.35">
      <c r="A154" s="259"/>
      <c r="B154" s="9"/>
      <c r="C154" s="267"/>
      <c r="D154" s="267"/>
      <c r="E154" s="14"/>
      <c r="F154" s="14"/>
      <c r="G154" s="9"/>
      <c r="H154" s="15"/>
      <c r="J154" s="349" t="s">
        <v>438</v>
      </c>
      <c r="K154" s="350"/>
      <c r="L154" s="350"/>
      <c r="M154" s="350"/>
      <c r="N154" s="9"/>
      <c r="O154" s="137">
        <f>SUMPRODUCT(实际数据!E30:E32,销售成本计算!L8:L10)</f>
        <v>9500405.8663460817</v>
      </c>
    </row>
    <row r="155" spans="1:15" x14ac:dyDescent="0.35">
      <c r="A155" s="265" t="s">
        <v>171</v>
      </c>
      <c r="B155" s="266"/>
      <c r="C155" s="267"/>
      <c r="D155" s="267"/>
      <c r="E155" s="14"/>
      <c r="F155" s="14"/>
      <c r="G155" s="9"/>
      <c r="H155" s="15"/>
      <c r="J155" s="349" t="s">
        <v>439</v>
      </c>
      <c r="K155" s="350"/>
      <c r="L155" s="350"/>
      <c r="M155" s="350"/>
      <c r="N155" s="9"/>
      <c r="O155" s="141">
        <f>-差异计算!C141</f>
        <v>197503.09757100703</v>
      </c>
    </row>
    <row r="156" spans="1:15" x14ac:dyDescent="0.35">
      <c r="A156" s="259" t="s">
        <v>440</v>
      </c>
      <c r="B156" s="9"/>
      <c r="C156" s="9"/>
      <c r="D156" s="9"/>
      <c r="E156" s="136">
        <f>SUMPRODUCT(预算数据!E30:E32,销售成本计算!K8:K10)</f>
        <v>224027.91625124635</v>
      </c>
      <c r="F156" s="136">
        <f>SUMPRODUCT(实际数据!E30:E32,销售成本计算!K8:K10)</f>
        <v>232397.99967941458</v>
      </c>
      <c r="G156" s="9"/>
      <c r="H156" s="137">
        <f>F156</f>
        <v>232397.99967941458</v>
      </c>
      <c r="J156" s="349" t="s">
        <v>441</v>
      </c>
      <c r="K156" s="350"/>
      <c r="L156" s="350"/>
      <c r="M156" s="350"/>
      <c r="N156" s="9"/>
      <c r="O156" s="137">
        <f>O153-O154-O155</f>
        <v>1752639.8360829121</v>
      </c>
    </row>
    <row r="157" spans="1:15" x14ac:dyDescent="0.35">
      <c r="A157" s="259" t="s">
        <v>442</v>
      </c>
      <c r="B157" s="9"/>
      <c r="C157" s="9"/>
      <c r="D157" s="9"/>
      <c r="E157" s="268"/>
      <c r="F157" s="136">
        <f>-F82</f>
        <v>-15038.359328992956</v>
      </c>
      <c r="G157" s="9"/>
      <c r="H157" s="137">
        <f>F157</f>
        <v>-15038.359328992956</v>
      </c>
      <c r="J157" s="349" t="s">
        <v>127</v>
      </c>
      <c r="K157" s="350"/>
      <c r="L157" s="350"/>
      <c r="M157" s="350"/>
      <c r="N157" s="9"/>
      <c r="O157" s="137">
        <f>利润表!F24</f>
        <v>503824.14720000001</v>
      </c>
    </row>
    <row r="158" spans="1:15" x14ac:dyDescent="0.35">
      <c r="A158" s="259" t="s">
        <v>154</v>
      </c>
      <c r="B158" s="9"/>
      <c r="C158" s="9"/>
      <c r="D158" s="9"/>
      <c r="E158" s="268"/>
      <c r="F158" s="268"/>
      <c r="G158" s="9"/>
      <c r="H158" s="137">
        <f>-E90</f>
        <v>12174</v>
      </c>
      <c r="J158" s="349" t="s">
        <v>128</v>
      </c>
      <c r="K158" s="350"/>
      <c r="L158" s="350"/>
      <c r="M158" s="350"/>
      <c r="N158" s="9"/>
      <c r="O158" s="141">
        <f>利润表!F25</f>
        <v>544902.79</v>
      </c>
    </row>
    <row r="159" spans="1:15" x14ac:dyDescent="0.35">
      <c r="A159" s="259" t="s">
        <v>443</v>
      </c>
      <c r="B159" s="9"/>
      <c r="C159" s="9"/>
      <c r="D159" s="9"/>
      <c r="E159" s="136">
        <f>销售成本计算!B55</f>
        <v>672.08374875373829</v>
      </c>
      <c r="F159" s="136">
        <f>利润表!F33</f>
        <v>7340.3596495783595</v>
      </c>
      <c r="G159" s="9"/>
      <c r="H159" s="137">
        <f>F159</f>
        <v>7340.3596495783595</v>
      </c>
      <c r="J159" s="351" t="s">
        <v>444</v>
      </c>
      <c r="K159" s="352"/>
      <c r="L159" s="352"/>
      <c r="M159" s="352"/>
      <c r="N159" s="269"/>
      <c r="O159" s="253">
        <f>O156-O157-O158</f>
        <v>703912.89888291201</v>
      </c>
    </row>
    <row r="160" spans="1:15" x14ac:dyDescent="0.35">
      <c r="A160" s="259" t="s">
        <v>172</v>
      </c>
      <c r="B160" s="9"/>
      <c r="C160" s="9"/>
      <c r="D160" s="9"/>
      <c r="E160" s="136">
        <f>SUM(E156:E159)</f>
        <v>224700.00000000009</v>
      </c>
      <c r="F160" s="136">
        <f>SUM(F156:F159)</f>
        <v>224700</v>
      </c>
      <c r="G160" s="9"/>
      <c r="H160" s="137">
        <f>SUM(H156:H159)</f>
        <v>236874</v>
      </c>
    </row>
    <row r="161" spans="1:15" x14ac:dyDescent="0.35">
      <c r="A161" s="259"/>
      <c r="B161" s="9"/>
      <c r="C161" s="9"/>
      <c r="D161" s="9"/>
      <c r="E161" s="14"/>
      <c r="F161" s="14"/>
      <c r="G161" s="9"/>
      <c r="H161" s="15"/>
    </row>
    <row r="162" spans="1:15" x14ac:dyDescent="0.35">
      <c r="A162" s="8" t="s">
        <v>445</v>
      </c>
      <c r="B162" s="9"/>
      <c r="C162" s="17"/>
      <c r="D162" s="9"/>
      <c r="E162" s="270" t="str">
        <f>IF(E160-E153&lt;0.01,"通过","不通过")</f>
        <v>通过</v>
      </c>
      <c r="F162" s="270" t="str">
        <f>IF(F160-F153&lt;0.01,"通过","不通过")</f>
        <v>通过</v>
      </c>
      <c r="G162" s="9"/>
      <c r="H162" s="271" t="str">
        <f>IF(H160-H153&lt;0.01,"通过","不通过")</f>
        <v>通过</v>
      </c>
    </row>
    <row r="163" spans="1:15" x14ac:dyDescent="0.35">
      <c r="A163" s="259"/>
      <c r="B163" s="9"/>
      <c r="C163" s="9"/>
      <c r="D163" s="9"/>
      <c r="E163" s="9"/>
      <c r="F163" s="9"/>
      <c r="G163" s="9"/>
      <c r="H163" s="272"/>
    </row>
    <row r="164" spans="1:15" x14ac:dyDescent="0.35">
      <c r="A164" s="273" t="s">
        <v>446</v>
      </c>
      <c r="B164" s="269"/>
      <c r="C164" s="269"/>
      <c r="D164" s="269"/>
      <c r="E164" s="269"/>
      <c r="F164" s="269"/>
      <c r="G164" s="269"/>
      <c r="H164" s="274"/>
    </row>
    <row r="166" spans="1:15" ht="15" customHeight="1" x14ac:dyDescent="0.35">
      <c r="A166" s="254" t="s">
        <v>173</v>
      </c>
      <c r="B166" s="255"/>
      <c r="C166" s="255"/>
      <c r="D166" s="255"/>
      <c r="E166" s="255"/>
      <c r="F166" s="255"/>
      <c r="G166" s="255"/>
      <c r="H166" s="256"/>
      <c r="J166" s="254" t="s">
        <v>174</v>
      </c>
      <c r="K166" s="257"/>
      <c r="L166" s="257"/>
      <c r="M166" s="255"/>
      <c r="N166" s="255"/>
      <c r="O166" s="258"/>
    </row>
    <row r="167" spans="1:15" x14ac:dyDescent="0.35">
      <c r="A167" s="259"/>
      <c r="B167" s="9"/>
      <c r="C167" s="9"/>
      <c r="D167" s="9"/>
      <c r="E167" s="9"/>
      <c r="F167" s="9"/>
      <c r="G167" s="9"/>
      <c r="H167" s="10"/>
      <c r="J167" s="353"/>
      <c r="K167" s="354"/>
      <c r="L167" s="354"/>
      <c r="M167" s="354"/>
      <c r="N167" s="9"/>
      <c r="O167" s="260"/>
    </row>
    <row r="168" spans="1:15" x14ac:dyDescent="0.35">
      <c r="A168" s="8" t="s">
        <v>447</v>
      </c>
      <c r="B168" s="9"/>
      <c r="C168" s="9"/>
      <c r="D168" s="9"/>
      <c r="E168" s="275" t="s">
        <v>129</v>
      </c>
      <c r="F168" s="9"/>
      <c r="G168" s="9"/>
      <c r="H168" s="10"/>
      <c r="J168" s="349" t="s">
        <v>175</v>
      </c>
      <c r="K168" s="350"/>
      <c r="L168" s="350"/>
      <c r="M168" s="350"/>
      <c r="N168" s="9"/>
      <c r="O168" s="137">
        <f>利润表!D13</f>
        <v>880804.67893333244</v>
      </c>
    </row>
    <row r="169" spans="1:15" x14ac:dyDescent="0.35">
      <c r="A169" s="259" t="s">
        <v>448</v>
      </c>
      <c r="B169" s="9"/>
      <c r="C169" s="136">
        <f>销售成本计算!C16</f>
        <v>9580816.5999999996</v>
      </c>
      <c r="D169" s="9"/>
      <c r="E169" s="9" t="s">
        <v>449</v>
      </c>
      <c r="F169" s="9"/>
      <c r="G169" s="9"/>
      <c r="H169" s="137">
        <f>销售成本计算!C40</f>
        <v>9820554.9593289923</v>
      </c>
      <c r="J169" s="349" t="s">
        <v>443</v>
      </c>
      <c r="K169" s="350"/>
      <c r="L169" s="350"/>
      <c r="M169" s="350"/>
      <c r="N169" s="9"/>
      <c r="O169" s="137">
        <f>利润表!F33</f>
        <v>7340.3596495783595</v>
      </c>
    </row>
    <row r="170" spans="1:15" x14ac:dyDescent="0.35">
      <c r="A170" s="259" t="s">
        <v>450</v>
      </c>
      <c r="B170" s="9"/>
      <c r="C170" s="140">
        <f>销售成本计算!D16</f>
        <v>9781184.0569000002</v>
      </c>
      <c r="D170" s="9"/>
      <c r="E170" s="9" t="s">
        <v>451</v>
      </c>
      <c r="F170" s="9"/>
      <c r="G170" s="9"/>
      <c r="H170" s="141">
        <f>销售成本计算!D40</f>
        <v>10018058.0569</v>
      </c>
      <c r="J170" s="349" t="s">
        <v>124</v>
      </c>
      <c r="K170" s="350"/>
      <c r="L170" s="350"/>
      <c r="M170" s="350"/>
      <c r="N170" s="9"/>
      <c r="O170" s="141">
        <f>-差异计算!F82</f>
        <v>-15038.359328992956</v>
      </c>
    </row>
    <row r="171" spans="1:15" x14ac:dyDescent="0.35">
      <c r="A171" s="259" t="s">
        <v>176</v>
      </c>
      <c r="B171" s="9"/>
      <c r="C171" s="136">
        <f>C169-C170</f>
        <v>-200367.45690000057</v>
      </c>
      <c r="D171" s="9"/>
      <c r="E171" s="9" t="s">
        <v>452</v>
      </c>
      <c r="F171" s="9"/>
      <c r="G171" s="9"/>
      <c r="H171" s="137">
        <f>H169-H170</f>
        <v>-197503.09757100791</v>
      </c>
      <c r="J171" s="351" t="s">
        <v>177</v>
      </c>
      <c r="K171" s="352"/>
      <c r="L171" s="352"/>
      <c r="M171" s="352"/>
      <c r="N171" s="269"/>
      <c r="O171" s="162">
        <f>SUM(O168:O170)</f>
        <v>873106.67925391789</v>
      </c>
    </row>
    <row r="172" spans="1:15" x14ac:dyDescent="0.35">
      <c r="A172" s="259"/>
      <c r="B172" s="9"/>
      <c r="C172" s="9"/>
      <c r="D172" s="9"/>
      <c r="E172" s="9"/>
      <c r="F172" s="9"/>
      <c r="G172" s="9"/>
      <c r="H172" s="10"/>
    </row>
    <row r="173" spans="1:15" x14ac:dyDescent="0.35">
      <c r="A173" s="259" t="s">
        <v>178</v>
      </c>
      <c r="B173" s="9"/>
      <c r="C173" s="240">
        <f>C141</f>
        <v>-197503.09757100703</v>
      </c>
      <c r="D173" s="9"/>
      <c r="E173" s="9" t="s">
        <v>453</v>
      </c>
      <c r="F173" s="9"/>
      <c r="G173" s="9"/>
      <c r="H173" s="251">
        <f>C173</f>
        <v>-197503.09757100703</v>
      </c>
    </row>
    <row r="174" spans="1:15" x14ac:dyDescent="0.35">
      <c r="A174" s="259" t="s">
        <v>454</v>
      </c>
      <c r="B174" s="9"/>
      <c r="C174" s="240">
        <f>C139</f>
        <v>15038.359328992956</v>
      </c>
      <c r="D174" s="9"/>
      <c r="E174" s="9"/>
      <c r="F174" s="9"/>
      <c r="G174" s="9"/>
      <c r="H174" s="10"/>
      <c r="J174" s="276" t="s">
        <v>455</v>
      </c>
      <c r="K174" s="277"/>
      <c r="L174" s="277"/>
      <c r="M174" s="277"/>
      <c r="N174" s="277"/>
      <c r="O174" s="278"/>
    </row>
    <row r="175" spans="1:15" x14ac:dyDescent="0.35">
      <c r="A175" s="259" t="s">
        <v>154</v>
      </c>
      <c r="B175" s="9"/>
      <c r="C175" s="279">
        <f>C140</f>
        <v>-12174</v>
      </c>
      <c r="D175" s="9"/>
      <c r="E175" s="9"/>
      <c r="F175" s="9"/>
      <c r="G175" s="9"/>
      <c r="H175" s="10"/>
      <c r="J175" s="347" t="s">
        <v>456</v>
      </c>
      <c r="K175" s="348"/>
      <c r="L175" s="348"/>
      <c r="M175" s="348"/>
      <c r="N175" s="5"/>
      <c r="O175" s="280">
        <f>利润表!B26</f>
        <v>803582.63236037944</v>
      </c>
    </row>
    <row r="176" spans="1:15" x14ac:dyDescent="0.35">
      <c r="A176" s="259" t="s">
        <v>457</v>
      </c>
      <c r="B176" s="9"/>
      <c r="C176" s="240">
        <f>C173-C174-C175</f>
        <v>-200367.45689999999</v>
      </c>
      <c r="D176" s="9"/>
      <c r="E176" s="9"/>
      <c r="F176" s="9"/>
      <c r="G176" s="9"/>
      <c r="H176" s="10"/>
      <c r="J176" s="349" t="s">
        <v>139</v>
      </c>
      <c r="K176" s="350"/>
      <c r="L176" s="350"/>
      <c r="M176" s="350"/>
      <c r="N176" s="9"/>
      <c r="O176" s="137">
        <f>利润表!D13-利润表!B13</f>
        <v>77894.130321707111</v>
      </c>
    </row>
    <row r="177" spans="1:15" x14ac:dyDescent="0.35">
      <c r="A177" s="259"/>
      <c r="B177" s="9"/>
      <c r="C177" s="281"/>
      <c r="D177" s="9"/>
      <c r="E177" s="9"/>
      <c r="F177" s="9"/>
      <c r="G177" s="9"/>
      <c r="H177" s="10"/>
      <c r="J177" s="349" t="s">
        <v>458</v>
      </c>
      <c r="K177" s="350"/>
      <c r="L177" s="350"/>
      <c r="M177" s="350"/>
      <c r="N177" s="9"/>
      <c r="O177" s="137">
        <f>利润表!F33-利润表!B33</f>
        <v>6668.2759008246212</v>
      </c>
    </row>
    <row r="178" spans="1:15" x14ac:dyDescent="0.35">
      <c r="A178" s="8" t="s">
        <v>125</v>
      </c>
      <c r="B178" s="9"/>
      <c r="C178" s="270" t="str">
        <f>IF(C176-C169&lt;0.01,"通过","不通过")</f>
        <v>通过</v>
      </c>
      <c r="D178" s="9"/>
      <c r="E178" s="9"/>
      <c r="F178" s="9"/>
      <c r="G178" s="9"/>
      <c r="H178" s="271" t="str">
        <f>IF(H173-H171&lt;0.01,"通过","不通过")</f>
        <v>通过</v>
      </c>
      <c r="J178" s="349" t="s">
        <v>459</v>
      </c>
      <c r="K178" s="350"/>
      <c r="L178" s="350"/>
      <c r="M178" s="350"/>
      <c r="N178" s="9"/>
      <c r="O178" s="141">
        <f>O170</f>
        <v>-15038.359328992956</v>
      </c>
    </row>
    <row r="179" spans="1:15" x14ac:dyDescent="0.35">
      <c r="A179" s="259"/>
      <c r="B179" s="9"/>
      <c r="C179" s="9"/>
      <c r="D179" s="9"/>
      <c r="E179" s="9"/>
      <c r="F179" s="9"/>
      <c r="G179" s="9"/>
      <c r="H179" s="10"/>
      <c r="J179" s="351" t="s">
        <v>460</v>
      </c>
      <c r="K179" s="352"/>
      <c r="L179" s="352"/>
      <c r="M179" s="352"/>
      <c r="N179" s="269"/>
      <c r="O179" s="162">
        <f>SUM(O175:O178)</f>
        <v>873106.67925391812</v>
      </c>
    </row>
    <row r="180" spans="1:15" x14ac:dyDescent="0.35">
      <c r="A180" s="273" t="s">
        <v>461</v>
      </c>
      <c r="B180" s="269"/>
      <c r="C180" s="269"/>
      <c r="D180" s="269"/>
      <c r="E180" s="269"/>
      <c r="F180" s="269"/>
      <c r="G180" s="269"/>
      <c r="H180" s="274"/>
    </row>
    <row r="181" spans="1:15" x14ac:dyDescent="0.35">
      <c r="J181" s="282"/>
    </row>
  </sheetData>
  <mergeCells count="60">
    <mergeCell ref="J177:M177"/>
    <mergeCell ref="J178:M178"/>
    <mergeCell ref="J179:M179"/>
    <mergeCell ref="J167:M167"/>
    <mergeCell ref="J168:M168"/>
    <mergeCell ref="J169:M169"/>
    <mergeCell ref="J170:M170"/>
    <mergeCell ref="J171:M171"/>
    <mergeCell ref="C47:C48"/>
    <mergeCell ref="J175:M175"/>
    <mergeCell ref="J176:M176"/>
    <mergeCell ref="J155:M155"/>
    <mergeCell ref="J156:M156"/>
    <mergeCell ref="J157:M157"/>
    <mergeCell ref="J158:M158"/>
    <mergeCell ref="J159:M159"/>
    <mergeCell ref="J150:M150"/>
    <mergeCell ref="J151:M151"/>
    <mergeCell ref="J152:M152"/>
    <mergeCell ref="J153:M153"/>
    <mergeCell ref="J154:M154"/>
    <mergeCell ref="C85:C86"/>
    <mergeCell ref="C94:C98"/>
    <mergeCell ref="C105:C107"/>
    <mergeCell ref="C115:C117"/>
    <mergeCell ref="D4:D5"/>
    <mergeCell ref="D12:D14"/>
    <mergeCell ref="D21:D22"/>
    <mergeCell ref="D29:D30"/>
    <mergeCell ref="D47:D48"/>
    <mergeCell ref="D72:D73"/>
    <mergeCell ref="D85:D86"/>
    <mergeCell ref="D94:D98"/>
    <mergeCell ref="D105:D107"/>
    <mergeCell ref="D115:D117"/>
    <mergeCell ref="C4:C5"/>
    <mergeCell ref="C12:C14"/>
    <mergeCell ref="C21:C22"/>
    <mergeCell ref="C29:C30"/>
    <mergeCell ref="E4:E5"/>
    <mergeCell ref="E12:E14"/>
    <mergeCell ref="E21:E22"/>
    <mergeCell ref="E29:E30"/>
    <mergeCell ref="E47:E48"/>
    <mergeCell ref="E72:E73"/>
    <mergeCell ref="E85:E86"/>
    <mergeCell ref="E94:E98"/>
    <mergeCell ref="E105:E107"/>
    <mergeCell ref="E115:E117"/>
    <mergeCell ref="F4:F5"/>
    <mergeCell ref="F12:F14"/>
    <mergeCell ref="F29:F30"/>
    <mergeCell ref="F47:F48"/>
    <mergeCell ref="F72:F73"/>
    <mergeCell ref="H4:H5"/>
    <mergeCell ref="H12:H14"/>
    <mergeCell ref="M38:M39"/>
    <mergeCell ref="M56:M57"/>
    <mergeCell ref="M65:M66"/>
    <mergeCell ref="J9:M12"/>
  </mergeCells>
  <phoneticPr fontId="2" type="noConversion"/>
  <pageMargins left="0.7" right="0.7" top="0.75" bottom="0.75" header="0.3" footer="0.3"/>
  <pageSetup orientation="portrait"/>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6"/>
  <sheetViews>
    <sheetView zoomScale="85" zoomScaleNormal="85" workbookViewId="0">
      <selection activeCell="D17" sqref="D17"/>
    </sheetView>
  </sheetViews>
  <sheetFormatPr defaultColWidth="9" defaultRowHeight="15.6" x14ac:dyDescent="0.35"/>
  <cols>
    <col min="1" max="1" width="4.88671875" style="2" customWidth="1"/>
    <col min="2" max="2" width="43.33203125" style="2" customWidth="1"/>
    <col min="3" max="5" width="13.6640625" style="2" customWidth="1"/>
    <col min="6" max="6" width="26.21875" style="2" customWidth="1"/>
    <col min="7" max="7" width="17.77734375" style="2" customWidth="1"/>
    <col min="8" max="8" width="17.21875" style="2" customWidth="1"/>
    <col min="9" max="16384" width="9" style="2"/>
  </cols>
  <sheetData>
    <row r="1" spans="2:7" x14ac:dyDescent="0.35">
      <c r="B1" s="355" t="s">
        <v>462</v>
      </c>
      <c r="C1" s="356"/>
      <c r="D1" s="356"/>
      <c r="E1" s="356"/>
      <c r="F1" s="357"/>
    </row>
    <row r="2" spans="2:7" x14ac:dyDescent="0.35">
      <c r="B2" s="283"/>
      <c r="C2" s="242"/>
      <c r="D2" s="242"/>
      <c r="E2" s="242"/>
      <c r="F2" s="284"/>
    </row>
    <row r="3" spans="2:7" x14ac:dyDescent="0.35">
      <c r="B3" s="358" t="s">
        <v>463</v>
      </c>
      <c r="C3" s="359" t="s">
        <v>464</v>
      </c>
      <c r="D3" s="360" t="s">
        <v>182</v>
      </c>
      <c r="E3" s="360" t="s">
        <v>183</v>
      </c>
      <c r="F3" s="32"/>
    </row>
    <row r="4" spans="2:7" ht="15" customHeight="1" x14ac:dyDescent="0.35">
      <c r="B4" s="358"/>
      <c r="C4" s="359"/>
      <c r="D4" s="359"/>
      <c r="E4" s="359"/>
      <c r="F4" s="32"/>
    </row>
    <row r="5" spans="2:7" x14ac:dyDescent="0.35">
      <c r="B5" s="358"/>
      <c r="C5" s="359"/>
      <c r="D5" s="359"/>
      <c r="E5" s="359"/>
      <c r="F5" s="32"/>
    </row>
    <row r="6" spans="2:7" x14ac:dyDescent="0.35">
      <c r="B6" s="358"/>
      <c r="C6" s="359"/>
      <c r="D6" s="359"/>
      <c r="E6" s="359"/>
      <c r="F6" s="32"/>
    </row>
    <row r="7" spans="2:7" x14ac:dyDescent="0.35">
      <c r="B7" s="31" t="s">
        <v>179</v>
      </c>
      <c r="C7" s="136">
        <f>利润表!B13</f>
        <v>802910.54861162533</v>
      </c>
      <c r="D7" s="136">
        <f>利润表!B33</f>
        <v>672.08374875373829</v>
      </c>
      <c r="E7" s="136">
        <f>C7+D7</f>
        <v>803582.6323603791</v>
      </c>
      <c r="F7" s="32"/>
      <c r="G7" s="74"/>
    </row>
    <row r="8" spans="2:7" x14ac:dyDescent="0.35">
      <c r="B8" s="31" t="s">
        <v>465</v>
      </c>
      <c r="C8" s="156">
        <f>C24</f>
        <v>85214.130321707111</v>
      </c>
      <c r="E8" s="136">
        <f t="shared" ref="E8:E11" si="0">C8+D8</f>
        <v>85214.130321707111</v>
      </c>
      <c r="F8" s="32" t="s">
        <v>466</v>
      </c>
    </row>
    <row r="9" spans="2:7" x14ac:dyDescent="0.35">
      <c r="B9" s="31" t="s">
        <v>467</v>
      </c>
      <c r="C9" s="156">
        <f>利润表!D8-利润表!F8</f>
        <v>-200367.45690000057</v>
      </c>
      <c r="E9" s="136">
        <f t="shared" si="0"/>
        <v>-200367.45690000057</v>
      </c>
      <c r="F9" s="32" t="s">
        <v>468</v>
      </c>
    </row>
    <row r="10" spans="2:7" x14ac:dyDescent="0.35">
      <c r="B10" s="31" t="s">
        <v>469</v>
      </c>
      <c r="C10" s="156">
        <f>利润表!D11-利润表!F11</f>
        <v>-12174</v>
      </c>
      <c r="E10" s="136">
        <f t="shared" si="0"/>
        <v>-12174</v>
      </c>
      <c r="F10" s="32" t="s">
        <v>184</v>
      </c>
    </row>
    <row r="11" spans="2:7" x14ac:dyDescent="0.35">
      <c r="B11" s="31" t="s">
        <v>180</v>
      </c>
      <c r="C11" s="156">
        <f>C39+C42</f>
        <v>20989.317199999903</v>
      </c>
      <c r="E11" s="136">
        <f t="shared" si="0"/>
        <v>20989.317199999903</v>
      </c>
      <c r="F11" s="32" t="s">
        <v>470</v>
      </c>
    </row>
    <row r="12" spans="2:7" x14ac:dyDescent="0.35">
      <c r="B12" s="31" t="s">
        <v>181</v>
      </c>
      <c r="C12" s="230"/>
      <c r="E12" s="156">
        <f>D13-D7</f>
        <v>6668.2759008246212</v>
      </c>
      <c r="F12" s="32" t="s">
        <v>471</v>
      </c>
    </row>
    <row r="13" spans="2:7" x14ac:dyDescent="0.35">
      <c r="B13" s="31" t="s">
        <v>472</v>
      </c>
      <c r="C13" s="285">
        <f>SUM(C7:C12)</f>
        <v>696572.5392333318</v>
      </c>
      <c r="D13" s="285">
        <f>利润表!F33</f>
        <v>7340.3596495783595</v>
      </c>
      <c r="E13" s="285">
        <f>SUM(E7:E12)</f>
        <v>703912.89888291014</v>
      </c>
      <c r="F13" s="286"/>
    </row>
    <row r="14" spans="2:7" x14ac:dyDescent="0.35">
      <c r="B14" s="31"/>
      <c r="C14" s="126"/>
      <c r="D14" s="126"/>
      <c r="E14" s="126"/>
      <c r="F14" s="286"/>
    </row>
    <row r="15" spans="2:7" x14ac:dyDescent="0.35">
      <c r="B15" s="31" t="s">
        <v>473</v>
      </c>
      <c r="C15" s="136">
        <f>利润表!F13</f>
        <v>696572.53923333297</v>
      </c>
      <c r="D15" s="126"/>
      <c r="E15" s="136">
        <f>利润表!F26</f>
        <v>703912.89888291294</v>
      </c>
      <c r="F15" s="286"/>
    </row>
    <row r="16" spans="2:7" x14ac:dyDescent="0.35">
      <c r="B16" s="31"/>
      <c r="C16" s="126"/>
      <c r="D16" s="126"/>
      <c r="E16" s="126"/>
      <c r="F16" s="286"/>
    </row>
    <row r="17" spans="1:6" x14ac:dyDescent="0.35">
      <c r="B17" s="44" t="s">
        <v>125</v>
      </c>
      <c r="C17" s="287" t="str">
        <f>IF(C15-C13&lt;0.01,"通过","不通过")</f>
        <v>通过</v>
      </c>
      <c r="D17" s="45"/>
      <c r="E17" s="287" t="str">
        <f>IF(E15-E13&lt;0.01,"通过","不通过")</f>
        <v>通过</v>
      </c>
      <c r="F17" s="288"/>
    </row>
    <row r="18" spans="1:6" x14ac:dyDescent="0.35">
      <c r="F18" s="239"/>
    </row>
    <row r="19" spans="1:6" x14ac:dyDescent="0.35">
      <c r="A19" s="2" t="s">
        <v>28</v>
      </c>
      <c r="B19" s="235" t="s">
        <v>465</v>
      </c>
      <c r="E19" s="74"/>
    </row>
    <row r="20" spans="1:6" x14ac:dyDescent="0.35">
      <c r="B20" s="2" t="s">
        <v>474</v>
      </c>
      <c r="C20" s="289">
        <f>差异计算!H9</f>
        <v>44395.257563358697</v>
      </c>
      <c r="E20" s="74"/>
    </row>
    <row r="21" spans="1:6" x14ac:dyDescent="0.35">
      <c r="B21" s="2" t="s">
        <v>475</v>
      </c>
      <c r="C21" s="290">
        <f>差异计算!H18</f>
        <v>33498.872758347752</v>
      </c>
      <c r="E21" s="74"/>
    </row>
    <row r="22" spans="1:6" x14ac:dyDescent="0.35">
      <c r="B22" s="2" t="s">
        <v>476</v>
      </c>
      <c r="C22" s="289">
        <f>利润表!D13-利润表!B13</f>
        <v>77894.130321707111</v>
      </c>
    </row>
    <row r="23" spans="1:6" x14ac:dyDescent="0.35">
      <c r="B23" s="2" t="s">
        <v>134</v>
      </c>
      <c r="C23" s="290">
        <f>差异计算!E26</f>
        <v>7320</v>
      </c>
    </row>
    <row r="24" spans="1:6" x14ac:dyDescent="0.35">
      <c r="B24" s="2" t="s">
        <v>317</v>
      </c>
      <c r="C24" s="289">
        <f>C22+C23</f>
        <v>85214.130321707111</v>
      </c>
    </row>
    <row r="26" spans="1:6" x14ac:dyDescent="0.35">
      <c r="A26" s="2" t="s">
        <v>29</v>
      </c>
      <c r="B26" s="235" t="s">
        <v>467</v>
      </c>
      <c r="C26" s="235"/>
    </row>
    <row r="27" spans="1:6" x14ac:dyDescent="0.35">
      <c r="B27" s="2" t="s">
        <v>477</v>
      </c>
      <c r="C27" s="289">
        <f>差异计算!F35+差异计算!R44</f>
        <v>-60809.485999999903</v>
      </c>
    </row>
    <row r="28" spans="1:6" x14ac:dyDescent="0.35">
      <c r="B28" s="2" t="s">
        <v>478</v>
      </c>
      <c r="C28" s="289">
        <f>差异计算!F53+差异计算!R62</f>
        <v>-129942.30423333347</v>
      </c>
    </row>
    <row r="29" spans="1:6" x14ac:dyDescent="0.35">
      <c r="B29" s="2" t="s">
        <v>479</v>
      </c>
      <c r="C29" s="290">
        <f>差异计算!R69+差异计算!F74</f>
        <v>-9615.6666666666206</v>
      </c>
    </row>
    <row r="30" spans="1:6" x14ac:dyDescent="0.35">
      <c r="B30" s="2" t="s">
        <v>317</v>
      </c>
      <c r="C30" s="289">
        <f>SUM(C27:C29)</f>
        <v>-200367.45689999999</v>
      </c>
    </row>
    <row r="32" spans="1:6" x14ac:dyDescent="0.35">
      <c r="A32" s="2" t="s">
        <v>30</v>
      </c>
      <c r="B32" s="235" t="s">
        <v>480</v>
      </c>
    </row>
    <row r="33" spans="1:3" x14ac:dyDescent="0.35">
      <c r="B33" s="2" t="s">
        <v>481</v>
      </c>
      <c r="C33" s="156">
        <f>差异计算!E90</f>
        <v>-12174</v>
      </c>
    </row>
    <row r="35" spans="1:3" x14ac:dyDescent="0.35">
      <c r="A35" s="2" t="s">
        <v>31</v>
      </c>
      <c r="B35" s="235" t="s">
        <v>482</v>
      </c>
    </row>
    <row r="36" spans="1:3" x14ac:dyDescent="0.35">
      <c r="B36" s="2" t="s">
        <v>483</v>
      </c>
      <c r="C36" s="289">
        <f>差异计算!E108</f>
        <v>23341.200000000012</v>
      </c>
    </row>
    <row r="37" spans="1:3" x14ac:dyDescent="0.35">
      <c r="B37" s="2" t="s">
        <v>484</v>
      </c>
      <c r="C37" s="289">
        <f>差异计算!E109</f>
        <v>-919.83600000006845</v>
      </c>
    </row>
    <row r="38" spans="1:3" x14ac:dyDescent="0.35">
      <c r="B38" s="2" t="s">
        <v>485</v>
      </c>
      <c r="C38" s="290">
        <f>差异计算!E110</f>
        <v>-429.25680000000284</v>
      </c>
    </row>
    <row r="39" spans="1:3" x14ac:dyDescent="0.35">
      <c r="B39" s="2" t="s">
        <v>317</v>
      </c>
      <c r="C39" s="289">
        <f>SUM(C36:C38)</f>
        <v>21992.10719999994</v>
      </c>
    </row>
    <row r="41" spans="1:3" x14ac:dyDescent="0.35">
      <c r="A41" s="291" t="s">
        <v>32</v>
      </c>
      <c r="B41" s="235" t="s">
        <v>486</v>
      </c>
    </row>
    <row r="42" spans="1:3" x14ac:dyDescent="0.35">
      <c r="B42" s="2" t="s">
        <v>487</v>
      </c>
      <c r="C42" s="289">
        <f>利润表!D12-利润表!F12</f>
        <v>-1002.7900000000373</v>
      </c>
    </row>
    <row r="46" spans="1:3" s="128" customFormat="1" x14ac:dyDescent="0.35"/>
  </sheetData>
  <mergeCells count="5">
    <mergeCell ref="B1:F1"/>
    <mergeCell ref="B3:B6"/>
    <mergeCell ref="C3:C6"/>
    <mergeCell ref="D3:D6"/>
    <mergeCell ref="E3:E6"/>
  </mergeCells>
  <phoneticPr fontId="2" type="noConversion"/>
  <pageMargins left="0.7" right="0.7" top="0.75" bottom="0.75" header="0.3" footer="0.3"/>
  <pageSetup orientation="portrait"/>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
  <sheetViews>
    <sheetView tabSelected="1" zoomScale="70" zoomScaleNormal="70" workbookViewId="0">
      <selection activeCell="L23" sqref="L23"/>
    </sheetView>
  </sheetViews>
  <sheetFormatPr defaultColWidth="9" defaultRowHeight="15.6" x14ac:dyDescent="0.35"/>
  <cols>
    <col min="1" max="1" width="40.6640625" style="79" customWidth="1"/>
    <col min="2" max="2" width="16.21875" style="79" customWidth="1"/>
    <col min="3" max="3" width="10" style="79" customWidth="1"/>
    <col min="4" max="4" width="9.21875" style="79" customWidth="1"/>
    <col min="5" max="5" width="8.77734375" style="79" customWidth="1"/>
    <col min="6" max="6" width="11.21875" style="79" customWidth="1"/>
    <col min="7" max="12" width="12.77734375" style="79" customWidth="1"/>
    <col min="13" max="15" width="16.21875" style="79" customWidth="1"/>
    <col min="16" max="16" width="11.21875" style="79" customWidth="1"/>
    <col min="17" max="17" width="11.77734375" style="79" customWidth="1"/>
    <col min="18" max="18" width="9.33203125" style="79" customWidth="1"/>
    <col min="19" max="20" width="5.109375" style="79" customWidth="1"/>
    <col min="21" max="21" width="7" style="79" customWidth="1"/>
    <col min="22" max="22" width="12.33203125" style="79" customWidth="1"/>
    <col min="23" max="23" width="11.21875" style="79" customWidth="1"/>
    <col min="24" max="16384" width="9" style="79"/>
  </cols>
  <sheetData>
    <row r="1" spans="1:3" x14ac:dyDescent="0.35">
      <c r="A1" s="79" t="s">
        <v>488</v>
      </c>
      <c r="B1" s="292">
        <f>试算!E7</f>
        <v>803582.6323603791</v>
      </c>
    </row>
    <row r="2" spans="1:3" x14ac:dyDescent="0.35">
      <c r="A2" s="79" t="s">
        <v>478</v>
      </c>
      <c r="B2" s="292">
        <f>SUM(差异计算!C135:C136)</f>
        <v>-129942.30423333347</v>
      </c>
    </row>
    <row r="3" spans="1:3" x14ac:dyDescent="0.35">
      <c r="A3" s="79" t="s">
        <v>477</v>
      </c>
      <c r="B3" s="292">
        <f>SUM(差异计算!C133:C134)</f>
        <v>-60809.485999999903</v>
      </c>
    </row>
    <row r="4" spans="1:3" x14ac:dyDescent="0.35">
      <c r="A4" s="79" t="s">
        <v>479</v>
      </c>
      <c r="B4" s="292">
        <f>SUM(差异计算!C137:C138)</f>
        <v>-9615.6666666666206</v>
      </c>
    </row>
    <row r="5" spans="1:3" x14ac:dyDescent="0.35">
      <c r="A5" s="79" t="s">
        <v>185</v>
      </c>
      <c r="B5" s="292">
        <f>SUM(差异计算!C140,试算!E12)</f>
        <v>-5505.7240991753788</v>
      </c>
    </row>
    <row r="6" spans="1:3" x14ac:dyDescent="0.35">
      <c r="A6" s="79" t="s">
        <v>490</v>
      </c>
      <c r="B6" s="292">
        <f>差异计算!E26</f>
        <v>7320</v>
      </c>
    </row>
    <row r="7" spans="1:3" x14ac:dyDescent="0.35">
      <c r="A7" s="79" t="s">
        <v>491</v>
      </c>
      <c r="B7" s="292">
        <f>SUM(差异计算!C145:C146)</f>
        <v>20989.317199999859</v>
      </c>
    </row>
    <row r="8" spans="1:3" x14ac:dyDescent="0.35">
      <c r="A8" s="79" t="s">
        <v>253</v>
      </c>
      <c r="B8" s="292">
        <f>差异计算!H9+差异计算!H18</f>
        <v>77894.130321706441</v>
      </c>
    </row>
    <row r="9" spans="1:3" x14ac:dyDescent="0.35">
      <c r="A9" s="79" t="s">
        <v>489</v>
      </c>
      <c r="B9" s="292">
        <f>试算!E13</f>
        <v>703912.89888291014</v>
      </c>
      <c r="C9" s="118"/>
    </row>
  </sheetData>
  <sortState xmlns:xlrd2="http://schemas.microsoft.com/office/spreadsheetml/2017/richdata2" ref="A2:B8">
    <sortCondition ref="B2:B8"/>
  </sortState>
  <phoneticPr fontId="2" type="noConversion"/>
  <pageMargins left="0.7" right="0.7" top="0.75" bottom="0.75" header="0.3" footer="0.3"/>
  <pageSetup orientation="portrait"/>
  <customProperties>
    <customPr name="EpmWorksheetKeyString_GUI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3"/>
  <sheetViews>
    <sheetView zoomScale="70" zoomScaleNormal="70" workbookViewId="0">
      <selection activeCell="E30" sqref="E30:K34"/>
    </sheetView>
  </sheetViews>
  <sheetFormatPr defaultColWidth="9" defaultRowHeight="15.6" x14ac:dyDescent="0.35"/>
  <cols>
    <col min="1" max="1" width="6" style="79" customWidth="1"/>
    <col min="2" max="2" width="15.109375" style="79" customWidth="1"/>
    <col min="3" max="3" width="17.33203125" style="79" customWidth="1"/>
    <col min="4" max="4" width="10.77734375" style="79" customWidth="1"/>
    <col min="5" max="5" width="21.33203125" style="79" customWidth="1"/>
    <col min="6" max="6" width="32.21875" style="79" customWidth="1"/>
    <col min="7" max="8" width="12" style="79" customWidth="1"/>
    <col min="9" max="10" width="10.77734375" style="79" customWidth="1"/>
    <col min="11" max="16384" width="9" style="79"/>
  </cols>
  <sheetData>
    <row r="1" spans="1:11" x14ac:dyDescent="0.35">
      <c r="A1" s="361" t="s">
        <v>492</v>
      </c>
      <c r="B1" s="362"/>
      <c r="C1" s="362"/>
      <c r="D1" s="363"/>
      <c r="F1" s="293" t="s">
        <v>33</v>
      </c>
      <c r="G1" s="293" t="s">
        <v>41</v>
      </c>
    </row>
    <row r="2" spans="1:11" x14ac:dyDescent="0.35">
      <c r="A2" s="294" t="s">
        <v>493</v>
      </c>
      <c r="B2" s="294" t="s">
        <v>187</v>
      </c>
      <c r="C2" s="294" t="s">
        <v>494</v>
      </c>
      <c r="D2" s="295" t="s">
        <v>495</v>
      </c>
      <c r="F2" s="293" t="s">
        <v>188</v>
      </c>
      <c r="G2" s="79" t="s">
        <v>12</v>
      </c>
      <c r="H2" s="79" t="s">
        <v>13</v>
      </c>
      <c r="I2" s="79" t="s">
        <v>14</v>
      </c>
      <c r="J2" s="79" t="s">
        <v>189</v>
      </c>
      <c r="K2" s="79" t="s">
        <v>33</v>
      </c>
    </row>
    <row r="3" spans="1:11" x14ac:dyDescent="0.35">
      <c r="A3" s="79" t="s">
        <v>12</v>
      </c>
      <c r="B3" s="79" t="s">
        <v>34</v>
      </c>
      <c r="C3" s="79" t="s">
        <v>35</v>
      </c>
      <c r="D3" s="296">
        <f>差异数据!G2</f>
        <v>-33026.411541984788</v>
      </c>
      <c r="E3" s="79" t="s">
        <v>34</v>
      </c>
      <c r="F3" s="94" t="s">
        <v>34</v>
      </c>
      <c r="G3" s="119">
        <v>-20121.721934400099</v>
      </c>
      <c r="H3" s="119">
        <v>21033.074165759965</v>
      </c>
      <c r="I3" s="119">
        <v>76982.778090346517</v>
      </c>
      <c r="J3" s="119">
        <v>77894.130321706383</v>
      </c>
    </row>
    <row r="4" spans="1:11" x14ac:dyDescent="0.35">
      <c r="A4" s="79" t="s">
        <v>13</v>
      </c>
      <c r="B4" s="79" t="s">
        <v>34</v>
      </c>
      <c r="C4" s="79" t="s">
        <v>35</v>
      </c>
      <c r="D4" s="296">
        <f>差异数据!G3</f>
        <v>8580.1357027989961</v>
      </c>
      <c r="E4" s="79" t="s">
        <v>35</v>
      </c>
      <c r="F4" s="297" t="s">
        <v>35</v>
      </c>
      <c r="G4" s="119">
        <v>-33026.411541984788</v>
      </c>
      <c r="H4" s="119">
        <v>8580.1357027989961</v>
      </c>
      <c r="I4" s="119">
        <v>68841.533402544417</v>
      </c>
      <c r="J4" s="119">
        <v>44395.257563358624</v>
      </c>
    </row>
    <row r="5" spans="1:11" x14ac:dyDescent="0.35">
      <c r="A5" s="79" t="s">
        <v>14</v>
      </c>
      <c r="B5" s="79" t="s">
        <v>34</v>
      </c>
      <c r="C5" s="79" t="s">
        <v>35</v>
      </c>
      <c r="D5" s="296">
        <f>差异数据!G4</f>
        <v>68841.53340254449</v>
      </c>
      <c r="E5" s="79" t="s">
        <v>36</v>
      </c>
      <c r="F5" s="297" t="s">
        <v>36</v>
      </c>
      <c r="G5" s="119">
        <v>12904.689607584687</v>
      </c>
      <c r="H5" s="119">
        <v>12452.938462960967</v>
      </c>
      <c r="I5" s="119">
        <v>8141.2446878020983</v>
      </c>
      <c r="J5" s="119">
        <v>33498.872758347752</v>
      </c>
    </row>
    <row r="6" spans="1:11" x14ac:dyDescent="0.35">
      <c r="A6" s="79" t="s">
        <v>12</v>
      </c>
      <c r="B6" s="79" t="s">
        <v>34</v>
      </c>
      <c r="C6" s="79" t="s">
        <v>36</v>
      </c>
      <c r="D6" s="296">
        <f>差异数据!G5</f>
        <v>12904.689607584687</v>
      </c>
      <c r="E6" s="79" t="s">
        <v>37</v>
      </c>
      <c r="F6" s="94" t="s">
        <v>37</v>
      </c>
      <c r="G6" s="119">
        <v>31080</v>
      </c>
      <c r="H6" s="119">
        <v>-34160</v>
      </c>
      <c r="I6" s="119">
        <v>10400</v>
      </c>
      <c r="J6" s="119">
        <v>7320</v>
      </c>
    </row>
    <row r="7" spans="1:11" x14ac:dyDescent="0.35">
      <c r="A7" s="79" t="s">
        <v>13</v>
      </c>
      <c r="B7" s="79" t="s">
        <v>34</v>
      </c>
      <c r="C7" s="79" t="s">
        <v>36</v>
      </c>
      <c r="D7" s="296">
        <f>差异数据!G6</f>
        <v>12452.938462960967</v>
      </c>
      <c r="F7" s="297" t="s">
        <v>38</v>
      </c>
      <c r="G7" s="119">
        <v>31080</v>
      </c>
      <c r="H7" s="119">
        <v>-34160</v>
      </c>
      <c r="I7" s="119">
        <v>10400</v>
      </c>
      <c r="J7" s="119">
        <v>7320</v>
      </c>
    </row>
    <row r="8" spans="1:11" x14ac:dyDescent="0.35">
      <c r="A8" s="79" t="s">
        <v>14</v>
      </c>
      <c r="B8" s="79" t="s">
        <v>34</v>
      </c>
      <c r="C8" s="79" t="s">
        <v>36</v>
      </c>
      <c r="D8" s="296">
        <f>差异数据!G7</f>
        <v>8141.2446878020974</v>
      </c>
      <c r="E8" s="79" t="s">
        <v>33</v>
      </c>
      <c r="F8" s="94" t="s">
        <v>189</v>
      </c>
      <c r="G8" s="119">
        <v>10958.278065599901</v>
      </c>
      <c r="H8" s="119">
        <v>-13126.925834240035</v>
      </c>
      <c r="I8" s="119">
        <v>87382.778090346517</v>
      </c>
      <c r="J8" s="119">
        <v>85214.130321706383</v>
      </c>
    </row>
    <row r="9" spans="1:11" x14ac:dyDescent="0.35">
      <c r="A9" s="79" t="s">
        <v>12</v>
      </c>
      <c r="B9" s="79" t="s">
        <v>37</v>
      </c>
      <c r="C9" s="298" t="s">
        <v>38</v>
      </c>
      <c r="D9" s="296">
        <f>差异数据!G8</f>
        <v>31080</v>
      </c>
    </row>
    <row r="10" spans="1:11" x14ac:dyDescent="0.35">
      <c r="A10" s="79" t="s">
        <v>13</v>
      </c>
      <c r="B10" s="79" t="s">
        <v>37</v>
      </c>
      <c r="C10" s="298" t="s">
        <v>38</v>
      </c>
      <c r="D10" s="296">
        <f>差异数据!G9</f>
        <v>-34160</v>
      </c>
    </row>
    <row r="11" spans="1:11" x14ac:dyDescent="0.35">
      <c r="A11" s="199" t="s">
        <v>14</v>
      </c>
      <c r="B11" s="199" t="s">
        <v>37</v>
      </c>
      <c r="C11" s="299" t="s">
        <v>38</v>
      </c>
      <c r="D11" s="300">
        <f>差异数据!G10</f>
        <v>10400</v>
      </c>
    </row>
    <row r="13" spans="1:11" x14ac:dyDescent="0.35">
      <c r="A13" s="364" t="s">
        <v>496</v>
      </c>
      <c r="B13" s="364"/>
      <c r="C13" s="364"/>
      <c r="D13" s="364"/>
    </row>
    <row r="14" spans="1:11" x14ac:dyDescent="0.35">
      <c r="A14" s="364"/>
      <c r="B14" s="364"/>
      <c r="C14" s="364"/>
      <c r="D14" s="364"/>
    </row>
    <row r="15" spans="1:11" x14ac:dyDescent="0.35">
      <c r="A15" s="364"/>
      <c r="B15" s="364"/>
      <c r="C15" s="364"/>
      <c r="D15" s="364"/>
    </row>
    <row r="18" spans="5:15" x14ac:dyDescent="0.35">
      <c r="O18" s="301" t="s">
        <v>39</v>
      </c>
    </row>
    <row r="30" spans="5:15" x14ac:dyDescent="0.35">
      <c r="E30" s="301"/>
      <c r="F30" s="301"/>
      <c r="G30" s="301"/>
      <c r="H30" s="301"/>
      <c r="I30" s="301"/>
      <c r="J30" s="301"/>
      <c r="K30" s="301"/>
      <c r="L30" s="301"/>
    </row>
    <row r="31" spans="5:15" x14ac:dyDescent="0.35">
      <c r="E31" s="301"/>
      <c r="F31" s="301"/>
      <c r="G31" s="301"/>
      <c r="H31" s="301"/>
      <c r="I31" s="301"/>
      <c r="J31" s="301"/>
      <c r="K31" s="301"/>
      <c r="L31" s="301"/>
    </row>
    <row r="32" spans="5:15" x14ac:dyDescent="0.35">
      <c r="E32" s="301"/>
      <c r="F32" s="301"/>
      <c r="G32" s="301"/>
      <c r="H32" s="301"/>
      <c r="I32" s="301"/>
      <c r="J32" s="301"/>
      <c r="K32" s="301"/>
      <c r="L32" s="301"/>
    </row>
    <row r="33" spans="5:12" x14ac:dyDescent="0.35">
      <c r="E33" s="301"/>
      <c r="F33" s="301"/>
      <c r="G33" s="301"/>
      <c r="H33" s="301"/>
      <c r="I33" s="301"/>
      <c r="J33" s="301"/>
      <c r="K33" s="301"/>
      <c r="L33" s="301"/>
    </row>
  </sheetData>
  <mergeCells count="2">
    <mergeCell ref="A1:D1"/>
    <mergeCell ref="A13:D15"/>
  </mergeCells>
  <phoneticPr fontId="2" type="noConversion"/>
  <pageMargins left="0.7" right="0.7" top="0.75" bottom="0.75" header="0.3" footer="0.3"/>
  <customProperties>
    <customPr name="EpmWorksheetKeyString_GU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教师信息</vt:lpstr>
      <vt:lpstr>预算数据</vt:lpstr>
      <vt:lpstr>实际数据</vt:lpstr>
      <vt:lpstr>销售成本计算</vt:lpstr>
      <vt:lpstr>利润表</vt:lpstr>
      <vt:lpstr>差异计算</vt:lpstr>
      <vt:lpstr>试算</vt:lpstr>
      <vt:lpstr>瀑布图</vt:lpstr>
      <vt:lpstr>透视图-销售</vt:lpstr>
      <vt:lpstr>透视图-直接材料</vt:lpstr>
      <vt:lpstr>透视图-直接人工</vt:lpstr>
      <vt:lpstr>透视图-间接费用</vt:lpstr>
      <vt:lpstr>透视图-销售与管理费用</vt:lpstr>
      <vt:lpstr>差异数据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Balakrishnan, R</dc:creator>
  <cp:lastModifiedBy>Stella Hu</cp:lastModifiedBy>
  <dcterms:created xsi:type="dcterms:W3CDTF">2020-09-28T23:43:00Z</dcterms:created>
  <dcterms:modified xsi:type="dcterms:W3CDTF">2023-03-14T14:22:19Z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2052-5.0.0.7550</vt:lpwstr>
  </property>
  <property fmtid="{D5CDD505-2E9C-101B-9397-08002B2CF9AE}" pid="3" name="ICV">
    <vt:lpwstr>F1F94F80242C5253D27DE06339BE2C88</vt:lpwstr>
  </property>
</Properties>
</file>