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IMA\2022\V1502\"/>
    </mc:Choice>
  </mc:AlternateContent>
  <xr:revisionPtr revIDLastSave="0" documentId="13_ncr:1_{F916D57D-9A18-4BE7-BBF9-7E9754507B78}" xr6:coauthVersionLast="47" xr6:coauthVersionMax="47" xr10:uidLastSave="{00000000-0000-0000-0000-000000000000}"/>
  <bookViews>
    <workbookView xWindow="0" yWindow="0" windowWidth="23040" windowHeight="12240" tabRatio="778" activeTab="9" xr2:uid="{00000000-000D-0000-FFFF-FFFF00000000}"/>
  </bookViews>
  <sheets>
    <sheet name="表1" sheetId="8" r:id="rId1"/>
    <sheet name="表A1" sheetId="1" r:id="rId2"/>
    <sheet name="表A2" sheetId="3" r:id="rId3"/>
    <sheet name="表 A3" sheetId="4" r:id="rId4"/>
    <sheet name="表TN-1" sheetId="2" r:id="rId5"/>
    <sheet name="表TN-2" sheetId="16" r:id="rId6"/>
    <sheet name="表TN-3和表TN-6" sheetId="14" r:id="rId7"/>
    <sheet name="表TN-4" sheetId="10" r:id="rId8"/>
    <sheet name="表TN-5" sheetId="18" r:id="rId9"/>
    <sheet name="图 TN-1" sheetId="15" r:id="rId10"/>
  </sheets>
  <definedNames>
    <definedName name="_xlchart.v1.0" hidden="1">'图 TN-1'!$B$23:$B$34</definedName>
    <definedName name="_xlchart.v1.1" hidden="1">'图 TN-1'!$C$23:$C$34</definedName>
    <definedName name="_xlchart.v1.2" hidden="1">'图 TN-1'!$B$4:$B$13</definedName>
    <definedName name="_xlchart.v1.3" hidden="1">'图 TN-1'!$C$4:$C$13</definedName>
    <definedName name="_xlchart.v1.4" hidden="1">'图 TN-1'!$B$4:$B$13</definedName>
    <definedName name="_xlchart.v1.5" hidden="1">'图 TN-1'!$C$4:$C$13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 l="1"/>
  <c r="C26" i="1"/>
  <c r="V147" i="8"/>
  <c r="C35" i="8"/>
  <c r="C36" i="8"/>
  <c r="C37" i="8"/>
  <c r="C40" i="8"/>
  <c r="I13" i="2" l="1"/>
  <c r="V8" i="14"/>
  <c r="F7" i="2"/>
  <c r="D35" i="1"/>
  <c r="D67" i="8"/>
  <c r="D66" i="8"/>
  <c r="V15" i="14"/>
  <c r="J75" i="8" l="1"/>
  <c r="C193" i="8" l="1"/>
  <c r="C192" i="8"/>
  <c r="C191" i="8"/>
  <c r="C189" i="8"/>
  <c r="C188" i="8"/>
  <c r="C187" i="8"/>
  <c r="C186" i="8"/>
  <c r="R63" i="18" l="1"/>
  <c r="R67" i="18" s="1"/>
  <c r="Q63" i="18"/>
  <c r="Q66" i="18" s="1"/>
  <c r="P63" i="18"/>
  <c r="P67" i="18" s="1"/>
  <c r="O63" i="18"/>
  <c r="O67" i="18" s="1"/>
  <c r="N63" i="18"/>
  <c r="N66" i="18" s="1"/>
  <c r="M63" i="18"/>
  <c r="M66" i="18" s="1"/>
  <c r="L63" i="18"/>
  <c r="L66" i="18" s="1"/>
  <c r="K63" i="18"/>
  <c r="K66" i="18" s="1"/>
  <c r="J63" i="18"/>
  <c r="J67" i="18" s="1"/>
  <c r="I63" i="18"/>
  <c r="I67" i="18" s="1"/>
  <c r="H63" i="18"/>
  <c r="H67" i="18" s="1"/>
  <c r="G63" i="18"/>
  <c r="G66" i="18" s="1"/>
  <c r="F63" i="18"/>
  <c r="F67" i="18" s="1"/>
  <c r="E63" i="18"/>
  <c r="E67" i="18" s="1"/>
  <c r="R62" i="18"/>
  <c r="R64" i="18" s="1"/>
  <c r="Q62" i="18"/>
  <c r="Q64" i="18" s="1"/>
  <c r="P62" i="18"/>
  <c r="P64" i="18" s="1"/>
  <c r="O62" i="18"/>
  <c r="O64" i="18" s="1"/>
  <c r="N62" i="18"/>
  <c r="N64" i="18" s="1"/>
  <c r="M62" i="18"/>
  <c r="M64" i="18" s="1"/>
  <c r="J62" i="18"/>
  <c r="J64" i="18" s="1"/>
  <c r="I62" i="18"/>
  <c r="I64" i="18" s="1"/>
  <c r="H62" i="18"/>
  <c r="H64" i="18" s="1"/>
  <c r="G62" i="18"/>
  <c r="G64" i="18" s="1"/>
  <c r="F62" i="18"/>
  <c r="F64" i="18" s="1"/>
  <c r="E62" i="18"/>
  <c r="E64" i="18" s="1"/>
  <c r="D63" i="18"/>
  <c r="D67" i="18" s="1"/>
  <c r="D62" i="18"/>
  <c r="D64" i="18" s="1"/>
  <c r="E66" i="18" l="1"/>
  <c r="D65" i="18"/>
  <c r="H66" i="18"/>
  <c r="O66" i="18"/>
  <c r="F66" i="18"/>
  <c r="P66" i="18"/>
  <c r="D66" i="18"/>
  <c r="G67" i="18"/>
  <c r="E65" i="18"/>
  <c r="F65" i="18"/>
  <c r="M65" i="18"/>
  <c r="N65" i="18"/>
  <c r="Q67" i="18"/>
  <c r="G65" i="18"/>
  <c r="O65" i="18"/>
  <c r="I66" i="18"/>
  <c r="K67" i="18"/>
  <c r="H65" i="18"/>
  <c r="P65" i="18"/>
  <c r="J66" i="18"/>
  <c r="R66" i="18"/>
  <c r="L67" i="18"/>
  <c r="I65" i="18"/>
  <c r="Q65" i="18"/>
  <c r="M67" i="18"/>
  <c r="J65" i="18"/>
  <c r="R65" i="18"/>
  <c r="N67" i="18"/>
  <c r="Q46" i="18"/>
  <c r="P46" i="18"/>
  <c r="O46" i="18"/>
  <c r="N46" i="18"/>
  <c r="M46" i="18"/>
  <c r="L46" i="18"/>
  <c r="K46" i="18"/>
  <c r="J46" i="18"/>
  <c r="I46" i="18"/>
  <c r="H46" i="18"/>
  <c r="G46" i="18"/>
  <c r="F46" i="18"/>
  <c r="R45" i="18"/>
  <c r="Q45" i="18"/>
  <c r="P45" i="18"/>
  <c r="M45" i="18"/>
  <c r="L45" i="18"/>
  <c r="K45" i="18"/>
  <c r="J45" i="18"/>
  <c r="I45" i="18"/>
  <c r="H45" i="18"/>
  <c r="E46" i="18"/>
  <c r="D46" i="18"/>
  <c r="D45" i="18"/>
  <c r="R16" i="18"/>
  <c r="Q16" i="18"/>
  <c r="P16" i="18"/>
  <c r="O16" i="18"/>
  <c r="N16" i="18"/>
  <c r="M16" i="18"/>
  <c r="L16" i="18"/>
  <c r="K16" i="18"/>
  <c r="J16" i="18"/>
  <c r="I16" i="18"/>
  <c r="H16" i="18"/>
  <c r="G16" i="18"/>
  <c r="R15" i="18"/>
  <c r="Q15" i="18"/>
  <c r="P15" i="18"/>
  <c r="O15" i="18"/>
  <c r="N15" i="18"/>
  <c r="M15" i="18"/>
  <c r="L15" i="18"/>
  <c r="K15" i="18"/>
  <c r="J15" i="18"/>
  <c r="H15" i="18"/>
  <c r="R14" i="18"/>
  <c r="Q14" i="18"/>
  <c r="P14" i="18"/>
  <c r="O14" i="18"/>
  <c r="N14" i="18"/>
  <c r="M14" i="18"/>
  <c r="J14" i="18"/>
  <c r="I14" i="18"/>
  <c r="H14" i="18"/>
  <c r="G14" i="18"/>
  <c r="F14" i="18"/>
  <c r="E14" i="18"/>
  <c r="D16" i="18"/>
  <c r="D15" i="18"/>
  <c r="D14" i="18"/>
  <c r="R13" i="18" l="1"/>
  <c r="R17" i="18" s="1"/>
  <c r="Q13" i="18"/>
  <c r="Q17" i="18" s="1"/>
  <c r="P13" i="18"/>
  <c r="P18" i="18" s="1"/>
  <c r="O13" i="18"/>
  <c r="O18" i="18" s="1"/>
  <c r="N13" i="18"/>
  <c r="N17" i="18" s="1"/>
  <c r="M13" i="18"/>
  <c r="J13" i="18"/>
  <c r="J17" i="18" s="1"/>
  <c r="I13" i="18"/>
  <c r="I17" i="18" s="1"/>
  <c r="H13" i="18"/>
  <c r="H17" i="18" s="1"/>
  <c r="G13" i="18"/>
  <c r="G17" i="18" s="1"/>
  <c r="F13" i="18"/>
  <c r="E13" i="18"/>
  <c r="D13" i="18"/>
  <c r="D17" i="18" s="1"/>
  <c r="H18" i="18" l="1"/>
  <c r="P17" i="18"/>
  <c r="Q18" i="18"/>
  <c r="O17" i="18"/>
  <c r="D18" i="18"/>
  <c r="N18" i="18"/>
  <c r="R18" i="18"/>
  <c r="M18" i="18"/>
  <c r="M17" i="18"/>
  <c r="J18" i="18"/>
  <c r="R10" i="18"/>
  <c r="Q10" i="18"/>
  <c r="P10" i="18"/>
  <c r="O10" i="18"/>
  <c r="N10" i="18"/>
  <c r="M10" i="18"/>
  <c r="L10" i="18"/>
  <c r="K10" i="18"/>
  <c r="J10" i="18"/>
  <c r="I10" i="18"/>
  <c r="H10" i="18"/>
  <c r="G10" i="18"/>
  <c r="F10" i="18"/>
  <c r="E10" i="18"/>
  <c r="D10" i="18"/>
  <c r="C10" i="18"/>
  <c r="R9" i="18"/>
  <c r="Q9" i="18"/>
  <c r="P9" i="18"/>
  <c r="O9" i="18"/>
  <c r="N9" i="18"/>
  <c r="M9" i="18"/>
  <c r="L9" i="18"/>
  <c r="K9" i="18"/>
  <c r="J9" i="18"/>
  <c r="I9" i="18"/>
  <c r="H9" i="18"/>
  <c r="G9" i="18"/>
  <c r="F9" i="18"/>
  <c r="E9" i="18"/>
  <c r="D9" i="18"/>
  <c r="C9" i="18"/>
  <c r="R8" i="18"/>
  <c r="Q8" i="18"/>
  <c r="P8" i="18"/>
  <c r="O8" i="18"/>
  <c r="N8" i="18"/>
  <c r="M8" i="18"/>
  <c r="L8" i="18"/>
  <c r="K8" i="18"/>
  <c r="J8" i="18"/>
  <c r="I8" i="18"/>
  <c r="H8" i="18"/>
  <c r="G8" i="18"/>
  <c r="F8" i="18"/>
  <c r="E8" i="18"/>
  <c r="D8" i="18"/>
  <c r="C8" i="18"/>
  <c r="R7" i="18"/>
  <c r="Q7" i="18"/>
  <c r="P7" i="18"/>
  <c r="O7" i="18"/>
  <c r="N7" i="18"/>
  <c r="M7" i="18"/>
  <c r="L7" i="18"/>
  <c r="K7" i="18"/>
  <c r="J7" i="18"/>
  <c r="I7" i="18"/>
  <c r="H7" i="18"/>
  <c r="G7" i="18"/>
  <c r="F7" i="18"/>
  <c r="E7" i="18"/>
  <c r="D7" i="18"/>
  <c r="S5" i="18"/>
  <c r="D6" i="18"/>
  <c r="C7" i="18"/>
  <c r="C6" i="18"/>
  <c r="C67" i="18"/>
  <c r="C66" i="18"/>
  <c r="C65" i="18"/>
  <c r="C64" i="18"/>
  <c r="Q60" i="18"/>
  <c r="P60" i="18"/>
  <c r="O60" i="18"/>
  <c r="N60" i="18"/>
  <c r="M60" i="18"/>
  <c r="L60" i="18"/>
  <c r="K60" i="18"/>
  <c r="J60" i="18"/>
  <c r="I60" i="18"/>
  <c r="H60" i="18"/>
  <c r="G60" i="18"/>
  <c r="F60" i="18"/>
  <c r="E60" i="18"/>
  <c r="D60" i="18"/>
  <c r="Q59" i="18"/>
  <c r="Q70" i="18" s="1"/>
  <c r="P59" i="18"/>
  <c r="P70" i="18" s="1"/>
  <c r="O59" i="18"/>
  <c r="N59" i="18"/>
  <c r="M59" i="18"/>
  <c r="M70" i="18" s="1"/>
  <c r="L59" i="18"/>
  <c r="K59" i="18"/>
  <c r="J59" i="18"/>
  <c r="J70" i="18" s="1"/>
  <c r="I59" i="18"/>
  <c r="I70" i="18" s="1"/>
  <c r="H59" i="18"/>
  <c r="H70" i="18" s="1"/>
  <c r="G59" i="18"/>
  <c r="F59" i="18"/>
  <c r="E59" i="18"/>
  <c r="D59" i="18"/>
  <c r="R58" i="18"/>
  <c r="Q58" i="18"/>
  <c r="P58" i="18"/>
  <c r="M58" i="18"/>
  <c r="L58" i="18"/>
  <c r="K58" i="18"/>
  <c r="J58" i="18"/>
  <c r="I58" i="18"/>
  <c r="H58" i="18"/>
  <c r="D58" i="18"/>
  <c r="R57" i="18"/>
  <c r="Q57" i="18"/>
  <c r="P57" i="18"/>
  <c r="P68" i="18" s="1"/>
  <c r="M57" i="18"/>
  <c r="M68" i="18" s="1"/>
  <c r="L57" i="18"/>
  <c r="K57" i="18"/>
  <c r="J57" i="18"/>
  <c r="J68" i="18" s="1"/>
  <c r="I57" i="18"/>
  <c r="H57" i="18"/>
  <c r="H68" i="18" s="1"/>
  <c r="D57" i="18"/>
  <c r="D68" i="18" s="1"/>
  <c r="C44" i="18"/>
  <c r="C43" i="18"/>
  <c r="O41" i="18"/>
  <c r="O39" i="18" s="1"/>
  <c r="O44" i="18" s="1"/>
  <c r="N41" i="18"/>
  <c r="N39" i="18" s="1"/>
  <c r="N54" i="18" s="1"/>
  <c r="L41" i="18"/>
  <c r="L39" i="18" s="1"/>
  <c r="K41" i="18"/>
  <c r="K39" i="18" s="1"/>
  <c r="K44" i="18" s="1"/>
  <c r="G41" i="18"/>
  <c r="G39" i="18" s="1"/>
  <c r="F41" i="18"/>
  <c r="F39" i="18" s="1"/>
  <c r="F54" i="18" s="1"/>
  <c r="E41" i="18"/>
  <c r="E39" i="18" s="1"/>
  <c r="D41" i="18"/>
  <c r="D39" i="18" s="1"/>
  <c r="C41" i="18"/>
  <c r="C40" i="18"/>
  <c r="C39" i="18"/>
  <c r="C38" i="18"/>
  <c r="R37" i="18"/>
  <c r="R35" i="18" s="1"/>
  <c r="R53" i="18" s="1"/>
  <c r="Q37" i="18"/>
  <c r="Q35" i="18" s="1"/>
  <c r="I37" i="18"/>
  <c r="I35" i="18" s="1"/>
  <c r="D37" i="18"/>
  <c r="D35" i="18" s="1"/>
  <c r="D69" i="18" s="1"/>
  <c r="C37" i="18"/>
  <c r="C36" i="18"/>
  <c r="C35" i="18"/>
  <c r="C34" i="18"/>
  <c r="O32" i="18"/>
  <c r="O30" i="18" s="1"/>
  <c r="O52" i="18" s="1"/>
  <c r="N32" i="18"/>
  <c r="N30" i="18" s="1"/>
  <c r="N52" i="18" s="1"/>
  <c r="L32" i="18"/>
  <c r="L30" i="18" s="1"/>
  <c r="L52" i="18" s="1"/>
  <c r="K32" i="18"/>
  <c r="K30" i="18" s="1"/>
  <c r="K52" i="18" s="1"/>
  <c r="G32" i="18"/>
  <c r="G30" i="18" s="1"/>
  <c r="G52" i="18" s="1"/>
  <c r="F32" i="18"/>
  <c r="F30" i="18" s="1"/>
  <c r="F52" i="18" s="1"/>
  <c r="E32" i="18"/>
  <c r="E30" i="18" s="1"/>
  <c r="E52" i="18" s="1"/>
  <c r="D32" i="18"/>
  <c r="D30" i="18" s="1"/>
  <c r="D52" i="18" s="1"/>
  <c r="R28" i="18"/>
  <c r="Q28" i="18"/>
  <c r="I28" i="18"/>
  <c r="D28" i="18"/>
  <c r="I26" i="18" l="1"/>
  <c r="I51" i="18" s="1"/>
  <c r="R26" i="18"/>
  <c r="R51" i="18" s="1"/>
  <c r="Q26" i="18"/>
  <c r="Q51" i="18" s="1"/>
  <c r="D26" i="18"/>
  <c r="D51" i="18" s="1"/>
  <c r="O19" i="18"/>
  <c r="G44" i="18"/>
  <c r="G54" i="18"/>
  <c r="E44" i="18"/>
  <c r="E54" i="18"/>
  <c r="N19" i="18"/>
  <c r="S67" i="18"/>
  <c r="S66" i="18"/>
  <c r="J19" i="18"/>
  <c r="M19" i="18"/>
  <c r="R19" i="18"/>
  <c r="D19" i="18"/>
  <c r="D43" i="18"/>
  <c r="D53" i="18"/>
  <c r="L54" i="18"/>
  <c r="L44" i="18"/>
  <c r="R43" i="18"/>
  <c r="Q19" i="18"/>
  <c r="Q43" i="18"/>
  <c r="Q53" i="18"/>
  <c r="D54" i="18"/>
  <c r="D44" i="18"/>
  <c r="O54" i="18"/>
  <c r="K54" i="18"/>
  <c r="F44" i="18"/>
  <c r="N44" i="18"/>
  <c r="I43" i="18"/>
  <c r="I53" i="18"/>
  <c r="E18" i="1"/>
  <c r="D47" i="18" l="1"/>
  <c r="D48" i="18"/>
  <c r="V66" i="18"/>
  <c r="P19" i="18"/>
  <c r="H19" i="18"/>
  <c r="D72" i="18"/>
  <c r="D49" i="18" l="1"/>
  <c r="B34" i="15" l="1"/>
  <c r="B33" i="15"/>
  <c r="B32" i="15"/>
  <c r="B30" i="15"/>
  <c r="B28" i="15"/>
  <c r="B27" i="15"/>
  <c r="B26" i="15"/>
  <c r="B25" i="15"/>
  <c r="B24" i="15"/>
  <c r="B23" i="15"/>
  <c r="P19" i="8" l="1"/>
  <c r="P32" i="18" s="1"/>
  <c r="P30" i="18" s="1"/>
  <c r="P52" i="18" s="1"/>
  <c r="P18" i="8"/>
  <c r="P28" i="18" l="1"/>
  <c r="I37" i="14"/>
  <c r="I36" i="14"/>
  <c r="I35" i="14"/>
  <c r="I34" i="14"/>
  <c r="F39" i="14"/>
  <c r="F30" i="14"/>
  <c r="C30" i="14"/>
  <c r="I16" i="8"/>
  <c r="G16" i="8"/>
  <c r="F12" i="14" l="1"/>
  <c r="F34" i="14" s="1"/>
  <c r="F10" i="14"/>
  <c r="F32" i="14" s="1"/>
  <c r="G15" i="18"/>
  <c r="G18" i="18" s="1"/>
  <c r="G19" i="18" s="1"/>
  <c r="I15" i="18"/>
  <c r="I18" i="18" s="1"/>
  <c r="I19" i="18" s="1"/>
  <c r="P26" i="18"/>
  <c r="P51" i="18" s="1"/>
  <c r="I18" i="2"/>
  <c r="I17" i="2"/>
  <c r="I16" i="2"/>
  <c r="I15" i="2"/>
  <c r="E21" i="16"/>
  <c r="E18" i="16"/>
  <c r="E12" i="16"/>
  <c r="I21" i="16" l="1"/>
  <c r="I18" i="16"/>
  <c r="G21" i="16"/>
  <c r="G18" i="16"/>
  <c r="G28" i="16" s="1"/>
  <c r="I28" i="16" l="1"/>
  <c r="P19" i="14" l="1"/>
  <c r="P18" i="14"/>
  <c r="P17" i="14"/>
  <c r="P15" i="14"/>
  <c r="P14" i="14"/>
  <c r="P13" i="14"/>
  <c r="P12" i="14"/>
  <c r="P10" i="14"/>
  <c r="P8" i="14"/>
  <c r="I49" i="4" l="1"/>
  <c r="I47" i="4"/>
  <c r="G47" i="4"/>
  <c r="G49" i="4"/>
  <c r="I44" i="4"/>
  <c r="G44" i="4"/>
  <c r="K43" i="4" s="1"/>
  <c r="K40" i="4"/>
  <c r="M40" i="4" s="1"/>
  <c r="I33" i="4"/>
  <c r="G33" i="4"/>
  <c r="I31" i="4"/>
  <c r="G31" i="4"/>
  <c r="K30" i="4" s="1"/>
  <c r="K27" i="4"/>
  <c r="M27" i="4" s="1"/>
  <c r="I20" i="4"/>
  <c r="G20" i="4"/>
  <c r="M30" i="4" l="1"/>
  <c r="M33" i="4" s="1"/>
  <c r="K46" i="4"/>
  <c r="M46" i="4" s="1"/>
  <c r="M43" i="4"/>
  <c r="C29" i="1"/>
  <c r="C28" i="1"/>
  <c r="C27" i="1"/>
  <c r="I31" i="3"/>
  <c r="H31" i="3"/>
  <c r="G31" i="3"/>
  <c r="F31" i="3"/>
  <c r="E31" i="3"/>
  <c r="D31" i="3"/>
  <c r="D38" i="3" s="1"/>
  <c r="M27" i="3" l="1"/>
  <c r="O17" i="2"/>
  <c r="M49" i="4"/>
  <c r="M28" i="3" l="1"/>
  <c r="O18" i="2"/>
  <c r="M19" i="8"/>
  <c r="M32" i="18" s="1"/>
  <c r="M30" i="18" s="1"/>
  <c r="M52" i="18" s="1"/>
  <c r="R19" i="8"/>
  <c r="Q19" i="8"/>
  <c r="O18" i="8"/>
  <c r="N18" i="8"/>
  <c r="M18" i="8"/>
  <c r="H18" i="8"/>
  <c r="G18" i="8"/>
  <c r="R76" i="8"/>
  <c r="R41" i="18" s="1"/>
  <c r="R39" i="18" s="1"/>
  <c r="Q76" i="8"/>
  <c r="Q41" i="18" s="1"/>
  <c r="Q39" i="18" s="1"/>
  <c r="Q71" i="18" s="1"/>
  <c r="P76" i="8"/>
  <c r="P41" i="18" s="1"/>
  <c r="P39" i="18" s="1"/>
  <c r="P71" i="18" s="1"/>
  <c r="P75" i="8"/>
  <c r="P37" i="18" s="1"/>
  <c r="P35" i="18" s="1"/>
  <c r="P69" i="18" s="1"/>
  <c r="N75" i="8"/>
  <c r="N37" i="18" s="1"/>
  <c r="N35" i="18" s="1"/>
  <c r="M76" i="8"/>
  <c r="M41" i="18" s="1"/>
  <c r="M39" i="18" s="1"/>
  <c r="M71" i="18" s="1"/>
  <c r="M75" i="8"/>
  <c r="M37" i="18" s="1"/>
  <c r="M35" i="18" s="1"/>
  <c r="M69" i="18" s="1"/>
  <c r="J37" i="18"/>
  <c r="J35" i="18" s="1"/>
  <c r="J69" i="18" s="1"/>
  <c r="J76" i="8"/>
  <c r="J41" i="18" s="1"/>
  <c r="J39" i="18" s="1"/>
  <c r="J71" i="18" s="1"/>
  <c r="I76" i="8"/>
  <c r="I41" i="18" s="1"/>
  <c r="I39" i="18" s="1"/>
  <c r="I71" i="18" s="1"/>
  <c r="H76" i="8"/>
  <c r="H41" i="18" s="1"/>
  <c r="H39" i="18" s="1"/>
  <c r="H71" i="18" s="1"/>
  <c r="F75" i="8"/>
  <c r="E75" i="8"/>
  <c r="L18" i="8"/>
  <c r="K18" i="8"/>
  <c r="H75" i="8"/>
  <c r="H37" i="18" s="1"/>
  <c r="H35" i="18" s="1"/>
  <c r="H69" i="18" s="1"/>
  <c r="O75" i="8"/>
  <c r="O37" i="18" s="1"/>
  <c r="O35" i="18" s="1"/>
  <c r="G75" i="8"/>
  <c r="G37" i="18" s="1"/>
  <c r="G35" i="18" s="1"/>
  <c r="E37" i="18" l="1"/>
  <c r="E35" i="18" s="1"/>
  <c r="E43" i="18" s="1"/>
  <c r="F37" i="18"/>
  <c r="F35" i="18" s="1"/>
  <c r="F53" i="18" s="1"/>
  <c r="J43" i="18"/>
  <c r="J53" i="18"/>
  <c r="M53" i="18"/>
  <c r="M43" i="18"/>
  <c r="H28" i="18"/>
  <c r="G28" i="18"/>
  <c r="N43" i="18"/>
  <c r="N53" i="18"/>
  <c r="N28" i="18"/>
  <c r="O53" i="18"/>
  <c r="O43" i="18"/>
  <c r="K28" i="18"/>
  <c r="P53" i="18"/>
  <c r="P43" i="18"/>
  <c r="O28" i="18"/>
  <c r="H53" i="18"/>
  <c r="H43" i="18"/>
  <c r="L28" i="18"/>
  <c r="M44" i="18"/>
  <c r="M54" i="18"/>
  <c r="M28" i="18"/>
  <c r="H54" i="18"/>
  <c r="H44" i="18"/>
  <c r="P54" i="18"/>
  <c r="P44" i="18"/>
  <c r="Q32" i="18"/>
  <c r="J54" i="18"/>
  <c r="J44" i="18"/>
  <c r="G53" i="18"/>
  <c r="G43" i="18"/>
  <c r="I44" i="18"/>
  <c r="I47" i="18" s="1"/>
  <c r="I72" i="18"/>
  <c r="I54" i="18"/>
  <c r="Q72" i="18"/>
  <c r="Q44" i="18"/>
  <c r="Q47" i="18" s="1"/>
  <c r="Q54" i="18"/>
  <c r="R32" i="18"/>
  <c r="R54" i="18"/>
  <c r="R44" i="18"/>
  <c r="R14" i="8"/>
  <c r="R46" i="18" s="1"/>
  <c r="O13" i="8"/>
  <c r="O45" i="18" s="1"/>
  <c r="N13" i="8"/>
  <c r="N45" i="18" s="1"/>
  <c r="G13" i="8"/>
  <c r="G45" i="18" s="1"/>
  <c r="J19" i="8"/>
  <c r="J32" i="18" s="1"/>
  <c r="J30" i="18" s="1"/>
  <c r="J52" i="18" s="1"/>
  <c r="J18" i="8"/>
  <c r="I19" i="8"/>
  <c r="H19" i="8"/>
  <c r="H32" i="18" s="1"/>
  <c r="H30" i="18" s="1"/>
  <c r="H52" i="18" s="1"/>
  <c r="E53" i="18" l="1"/>
  <c r="O47" i="18"/>
  <c r="G47" i="18"/>
  <c r="F43" i="18"/>
  <c r="R47" i="18"/>
  <c r="N47" i="18"/>
  <c r="M47" i="18"/>
  <c r="L26" i="18"/>
  <c r="L51" i="18" s="1"/>
  <c r="H47" i="18"/>
  <c r="H26" i="18"/>
  <c r="H51" i="18" s="1"/>
  <c r="H48" i="18"/>
  <c r="K26" i="18"/>
  <c r="K51" i="18" s="1"/>
  <c r="M26" i="18"/>
  <c r="M51" i="18" s="1"/>
  <c r="M48" i="18"/>
  <c r="O26" i="18"/>
  <c r="O51" i="18" s="1"/>
  <c r="O48" i="18"/>
  <c r="G26" i="18"/>
  <c r="G51" i="18" s="1"/>
  <c r="G48" i="18"/>
  <c r="Q30" i="18"/>
  <c r="Q52" i="18" s="1"/>
  <c r="Q48" i="18"/>
  <c r="Q49" i="18" s="1"/>
  <c r="P47" i="18"/>
  <c r="P48" i="18"/>
  <c r="N26" i="18"/>
  <c r="N51" i="18" s="1"/>
  <c r="N48" i="18"/>
  <c r="J47" i="18"/>
  <c r="R30" i="18"/>
  <c r="R52" i="18" s="1"/>
  <c r="R48" i="18"/>
  <c r="H72" i="18"/>
  <c r="M72" i="18"/>
  <c r="P72" i="18"/>
  <c r="N58" i="18"/>
  <c r="N69" i="18" s="1"/>
  <c r="N57" i="18"/>
  <c r="N68" i="18" s="1"/>
  <c r="O57" i="18"/>
  <c r="O68" i="18" s="1"/>
  <c r="O58" i="18"/>
  <c r="O69" i="18" s="1"/>
  <c r="R60" i="18"/>
  <c r="R71" i="18" s="1"/>
  <c r="R59" i="18"/>
  <c r="R70" i="18" s="1"/>
  <c r="J28" i="18"/>
  <c r="G57" i="18"/>
  <c r="G68" i="18" s="1"/>
  <c r="G58" i="18"/>
  <c r="G69" i="18" s="1"/>
  <c r="I32" i="18"/>
  <c r="J72" i="18"/>
  <c r="Q118" i="8"/>
  <c r="S118" i="8" s="1"/>
  <c r="P116" i="8"/>
  <c r="O116" i="8"/>
  <c r="N114" i="8"/>
  <c r="M114" i="8"/>
  <c r="Q102" i="8"/>
  <c r="S102" i="8" s="1"/>
  <c r="P100" i="8"/>
  <c r="O100" i="8"/>
  <c r="N98" i="8"/>
  <c r="M98" i="8"/>
  <c r="J93" i="8"/>
  <c r="I93" i="8"/>
  <c r="H93" i="8"/>
  <c r="G93" i="8"/>
  <c r="L111" i="8"/>
  <c r="K111" i="8"/>
  <c r="J109" i="8"/>
  <c r="I109" i="8"/>
  <c r="H109" i="8"/>
  <c r="G109" i="8"/>
  <c r="E11" i="8"/>
  <c r="E16" i="18" s="1"/>
  <c r="E17" i="18" s="1"/>
  <c r="E13" i="8"/>
  <c r="F11" i="8"/>
  <c r="F16" i="18" s="1"/>
  <c r="F17" i="18" s="1"/>
  <c r="F13" i="8"/>
  <c r="L70" i="8"/>
  <c r="L68" i="8"/>
  <c r="K68" i="8"/>
  <c r="K70" i="8"/>
  <c r="R49" i="18" l="1"/>
  <c r="N49" i="18"/>
  <c r="O49" i="18"/>
  <c r="E45" i="18"/>
  <c r="E47" i="18" s="1"/>
  <c r="K62" i="18"/>
  <c r="L62" i="18"/>
  <c r="F45" i="18"/>
  <c r="F47" i="18" s="1"/>
  <c r="J26" i="18"/>
  <c r="J51" i="18" s="1"/>
  <c r="J48" i="18"/>
  <c r="J49" i="18" s="1"/>
  <c r="I30" i="18"/>
  <c r="I52" i="18" s="1"/>
  <c r="I48" i="18"/>
  <c r="I49" i="18" s="1"/>
  <c r="H49" i="18"/>
  <c r="M49" i="18"/>
  <c r="N72" i="18"/>
  <c r="P49" i="18"/>
  <c r="G72" i="18"/>
  <c r="F58" i="18"/>
  <c r="F57" i="18"/>
  <c r="E57" i="18"/>
  <c r="E58" i="18"/>
  <c r="E69" i="18" s="1"/>
  <c r="S59" i="18"/>
  <c r="S60" i="18"/>
  <c r="S71" i="18"/>
  <c r="O72" i="18"/>
  <c r="G49" i="18"/>
  <c r="S100" i="8"/>
  <c r="S111" i="8"/>
  <c r="S116" i="8"/>
  <c r="S93" i="8"/>
  <c r="S114" i="8"/>
  <c r="S98" i="8"/>
  <c r="S109" i="8"/>
  <c r="Q156" i="8"/>
  <c r="Q50" i="18" s="1"/>
  <c r="P156" i="8"/>
  <c r="P50" i="18" s="1"/>
  <c r="J156" i="8"/>
  <c r="J50" i="18" s="1"/>
  <c r="I156" i="8"/>
  <c r="I50" i="18" s="1"/>
  <c r="H156" i="8"/>
  <c r="D156" i="8"/>
  <c r="D50" i="18" s="1"/>
  <c r="C59" i="8"/>
  <c r="E68" i="18" l="1"/>
  <c r="H50" i="18"/>
  <c r="E191" i="8"/>
  <c r="L65" i="18"/>
  <c r="L64" i="18"/>
  <c r="L68" i="18" s="1"/>
  <c r="K65" i="18"/>
  <c r="K64" i="18"/>
  <c r="K68" i="18" s="1"/>
  <c r="F68" i="18"/>
  <c r="F69" i="18"/>
  <c r="V59" i="18"/>
  <c r="S57" i="18"/>
  <c r="S58" i="18"/>
  <c r="R72" i="18"/>
  <c r="S70" i="18"/>
  <c r="R156" i="8"/>
  <c r="R50" i="18" s="1"/>
  <c r="M156" i="8"/>
  <c r="M50" i="18" s="1"/>
  <c r="O156" i="8"/>
  <c r="O50" i="18" s="1"/>
  <c r="N156" i="8"/>
  <c r="N50" i="18" s="1"/>
  <c r="G156" i="8"/>
  <c r="F72" i="18" l="1"/>
  <c r="S64" i="18"/>
  <c r="S65" i="18"/>
  <c r="G50" i="18"/>
  <c r="D191" i="8"/>
  <c r="V57" i="18"/>
  <c r="E72" i="18"/>
  <c r="S68" i="18"/>
  <c r="F15" i="2"/>
  <c r="F11" i="2"/>
  <c r="F9" i="2"/>
  <c r="I37" i="3"/>
  <c r="H37" i="3"/>
  <c r="G37" i="3"/>
  <c r="F37" i="3"/>
  <c r="E37" i="3"/>
  <c r="D37" i="3"/>
  <c r="V64" i="18" l="1"/>
  <c r="F38" i="3"/>
  <c r="G38" i="3"/>
  <c r="E38" i="3"/>
  <c r="H38" i="3"/>
  <c r="J37" i="3"/>
  <c r="J11" i="2" s="1"/>
  <c r="I38" i="3"/>
  <c r="J38" i="3" l="1"/>
  <c r="J12" i="2" s="1"/>
  <c r="R167" i="8"/>
  <c r="Q167" i="8"/>
  <c r="P167" i="8"/>
  <c r="O167" i="8"/>
  <c r="N167" i="8"/>
  <c r="M167" i="8"/>
  <c r="L167" i="8"/>
  <c r="K167" i="8"/>
  <c r="J167" i="8"/>
  <c r="I167" i="8"/>
  <c r="H167" i="8"/>
  <c r="G167" i="8"/>
  <c r="D167" i="8"/>
  <c r="D157" i="8"/>
  <c r="D20" i="18" s="1"/>
  <c r="O157" i="8"/>
  <c r="O20" i="18" s="1"/>
  <c r="P157" i="8"/>
  <c r="P20" i="18" s="1"/>
  <c r="N157" i="8"/>
  <c r="N20" i="18" s="1"/>
  <c r="M157" i="8"/>
  <c r="M20" i="18" s="1"/>
  <c r="J157" i="8"/>
  <c r="J20" i="18" s="1"/>
  <c r="I157" i="8"/>
  <c r="I20" i="18" s="1"/>
  <c r="H157" i="8"/>
  <c r="G157" i="8"/>
  <c r="G20" i="18" l="1"/>
  <c r="D192" i="8"/>
  <c r="H20" i="18"/>
  <c r="E192" i="8"/>
  <c r="C58" i="8"/>
  <c r="C57" i="8"/>
  <c r="C56" i="8"/>
  <c r="C55" i="8" l="1"/>
  <c r="C54" i="8"/>
  <c r="R48" i="8"/>
  <c r="S48" i="8" s="1"/>
  <c r="Q47" i="8"/>
  <c r="S47" i="8" s="1"/>
  <c r="P46" i="8"/>
  <c r="O46" i="8"/>
  <c r="N45" i="8"/>
  <c r="M45" i="8"/>
  <c r="L44" i="8"/>
  <c r="K44" i="8"/>
  <c r="J43" i="8"/>
  <c r="I43" i="8"/>
  <c r="H43" i="8"/>
  <c r="G43" i="8"/>
  <c r="F42" i="8"/>
  <c r="E42" i="8"/>
  <c r="R41" i="8"/>
  <c r="S41" i="8" s="1"/>
  <c r="Q40" i="8"/>
  <c r="S40" i="8" s="1"/>
  <c r="P39" i="8"/>
  <c r="O39" i="8"/>
  <c r="N38" i="8"/>
  <c r="M38" i="8"/>
  <c r="L37" i="8"/>
  <c r="K37" i="8"/>
  <c r="J36" i="8"/>
  <c r="I36" i="8"/>
  <c r="H36" i="8"/>
  <c r="G36" i="8"/>
  <c r="D42" i="8"/>
  <c r="D35" i="8"/>
  <c r="C48" i="8"/>
  <c r="C47" i="8"/>
  <c r="C46" i="8"/>
  <c r="C45" i="8"/>
  <c r="C44" i="8"/>
  <c r="C43" i="8"/>
  <c r="C42" i="8"/>
  <c r="C41" i="8"/>
  <c r="C39" i="8"/>
  <c r="C38" i="8"/>
  <c r="O115" i="8"/>
  <c r="R121" i="8"/>
  <c r="S121" i="8" s="1"/>
  <c r="Q119" i="8"/>
  <c r="P119" i="8"/>
  <c r="O119" i="8"/>
  <c r="N119" i="8"/>
  <c r="M119" i="8"/>
  <c r="L112" i="8"/>
  <c r="K112" i="8"/>
  <c r="J112" i="8"/>
  <c r="I112" i="8"/>
  <c r="H112" i="8"/>
  <c r="G112" i="8"/>
  <c r="F107" i="8"/>
  <c r="E107" i="8"/>
  <c r="R120" i="8"/>
  <c r="S120" i="8" s="1"/>
  <c r="Q117" i="8"/>
  <c r="S117" i="8" s="1"/>
  <c r="P115" i="8"/>
  <c r="N113" i="8"/>
  <c r="M113" i="8"/>
  <c r="L110" i="8"/>
  <c r="K110" i="8"/>
  <c r="J108" i="8"/>
  <c r="I108" i="8"/>
  <c r="H108" i="8"/>
  <c r="G108" i="8"/>
  <c r="F106" i="8"/>
  <c r="E106" i="8"/>
  <c r="D107" i="8"/>
  <c r="D106" i="8"/>
  <c r="Q103" i="8"/>
  <c r="P103" i="8"/>
  <c r="O103" i="8"/>
  <c r="N103" i="8"/>
  <c r="R105" i="8"/>
  <c r="S105" i="8" s="1"/>
  <c r="M103" i="8"/>
  <c r="R104" i="8"/>
  <c r="S104" i="8" s="1"/>
  <c r="Q101" i="8"/>
  <c r="S101" i="8" s="1"/>
  <c r="P99" i="8"/>
  <c r="O99" i="8"/>
  <c r="N97" i="8"/>
  <c r="M97" i="8"/>
  <c r="T118" i="8" l="1"/>
  <c r="I40" i="10"/>
  <c r="I37" i="10"/>
  <c r="G37" i="10"/>
  <c r="G40" i="10"/>
  <c r="S39" i="8"/>
  <c r="S110" i="8"/>
  <c r="S36" i="8"/>
  <c r="S44" i="8"/>
  <c r="S43" i="8"/>
  <c r="S46" i="8"/>
  <c r="S38" i="8"/>
  <c r="S37" i="8"/>
  <c r="S45" i="8"/>
  <c r="S108" i="8"/>
  <c r="S42" i="8"/>
  <c r="S99" i="8"/>
  <c r="S112" i="8"/>
  <c r="T121" i="8"/>
  <c r="S119" i="8"/>
  <c r="S107" i="8"/>
  <c r="S103" i="8"/>
  <c r="S97" i="8"/>
  <c r="S115" i="8"/>
  <c r="S106" i="8"/>
  <c r="S113" i="8"/>
  <c r="I96" i="8"/>
  <c r="I92" i="8"/>
  <c r="T98" i="8" l="1"/>
  <c r="T109" i="8"/>
  <c r="T114" i="8"/>
  <c r="T100" i="8"/>
  <c r="T116" i="8"/>
  <c r="I49" i="10"/>
  <c r="I31" i="10"/>
  <c r="I34" i="10"/>
  <c r="G49" i="10"/>
  <c r="G28" i="10"/>
  <c r="G16" i="10"/>
  <c r="G31" i="10"/>
  <c r="E40" i="10"/>
  <c r="G19" i="10"/>
  <c r="I25" i="10"/>
  <c r="I22" i="10"/>
  <c r="I28" i="10"/>
  <c r="G22" i="10"/>
  <c r="G25" i="10"/>
  <c r="G34" i="10"/>
  <c r="T112" i="8"/>
  <c r="T103" i="8"/>
  <c r="T119" i="8"/>
  <c r="J96" i="8"/>
  <c r="J92" i="8"/>
  <c r="H96" i="8"/>
  <c r="G96" i="8"/>
  <c r="H92" i="8"/>
  <c r="G92" i="8"/>
  <c r="R157" i="8"/>
  <c r="R20" i="18" s="1"/>
  <c r="Q157" i="8"/>
  <c r="Q20" i="18" s="1"/>
  <c r="F91" i="8"/>
  <c r="E91" i="8"/>
  <c r="D91" i="8"/>
  <c r="F90" i="8"/>
  <c r="E90" i="8"/>
  <c r="D90" i="8"/>
  <c r="C89" i="8"/>
  <c r="C88" i="8"/>
  <c r="C87" i="8"/>
  <c r="C86" i="8"/>
  <c r="C85" i="8"/>
  <c r="C84" i="8"/>
  <c r="C81" i="8"/>
  <c r="R80" i="8"/>
  <c r="R135" i="8" s="1"/>
  <c r="S135" i="8" s="1"/>
  <c r="Q80" i="8"/>
  <c r="Q133" i="8" s="1"/>
  <c r="S133" i="8" s="1"/>
  <c r="P80" i="8"/>
  <c r="O80" i="8"/>
  <c r="N80" i="8"/>
  <c r="N129" i="8" s="1"/>
  <c r="M80" i="8"/>
  <c r="M129" i="8" s="1"/>
  <c r="J80" i="8"/>
  <c r="J125" i="8" s="1"/>
  <c r="I80" i="8"/>
  <c r="I125" i="8" s="1"/>
  <c r="H80" i="8"/>
  <c r="H138" i="8" s="1"/>
  <c r="G80" i="8"/>
  <c r="G138" i="8" s="1"/>
  <c r="F80" i="8"/>
  <c r="F123" i="8" s="1"/>
  <c r="E80" i="8"/>
  <c r="D80" i="8"/>
  <c r="C80" i="8"/>
  <c r="R79" i="8"/>
  <c r="Q79" i="8"/>
  <c r="P79" i="8"/>
  <c r="O79" i="8"/>
  <c r="N79" i="8"/>
  <c r="M79" i="8"/>
  <c r="J79" i="8"/>
  <c r="I79" i="8"/>
  <c r="H79" i="8"/>
  <c r="G79" i="8"/>
  <c r="F79" i="8"/>
  <c r="E79" i="8"/>
  <c r="D79" i="8"/>
  <c r="C79" i="8"/>
  <c r="C78" i="8"/>
  <c r="C77" i="8"/>
  <c r="C76" i="8"/>
  <c r="L75" i="8"/>
  <c r="K75" i="8"/>
  <c r="C75" i="8"/>
  <c r="C74" i="8"/>
  <c r="L73" i="8"/>
  <c r="K73" i="8"/>
  <c r="C73" i="8"/>
  <c r="R72" i="8"/>
  <c r="Q72" i="8"/>
  <c r="P72" i="8"/>
  <c r="O72" i="8"/>
  <c r="N72" i="8"/>
  <c r="M72" i="8"/>
  <c r="J72" i="8"/>
  <c r="I72" i="8"/>
  <c r="H72" i="8"/>
  <c r="G72" i="8"/>
  <c r="F72" i="8"/>
  <c r="E72" i="8"/>
  <c r="D72" i="8"/>
  <c r="C72" i="8"/>
  <c r="S71" i="8"/>
  <c r="V67" i="18" s="1"/>
  <c r="C71" i="8"/>
  <c r="K94" i="8"/>
  <c r="C70" i="8"/>
  <c r="C69" i="8"/>
  <c r="C68" i="8"/>
  <c r="R67" i="8"/>
  <c r="Q67" i="8"/>
  <c r="P67" i="8"/>
  <c r="O67" i="8"/>
  <c r="N67" i="8"/>
  <c r="M67" i="8"/>
  <c r="L67" i="8"/>
  <c r="K67" i="8"/>
  <c r="J67" i="8"/>
  <c r="I67" i="8"/>
  <c r="H67" i="8"/>
  <c r="G67" i="8"/>
  <c r="F67" i="8"/>
  <c r="E67" i="8"/>
  <c r="C67" i="8"/>
  <c r="R66" i="8"/>
  <c r="Q66" i="8"/>
  <c r="P66" i="8"/>
  <c r="O66" i="8"/>
  <c r="N66" i="8"/>
  <c r="M66" i="8"/>
  <c r="L66" i="8"/>
  <c r="K66" i="8"/>
  <c r="J66" i="8"/>
  <c r="I66" i="8"/>
  <c r="H66" i="8"/>
  <c r="G66" i="8"/>
  <c r="F66" i="8"/>
  <c r="E66" i="8"/>
  <c r="C66" i="8"/>
  <c r="R65" i="8"/>
  <c r="Q65" i="8"/>
  <c r="P65" i="8"/>
  <c r="O65" i="8"/>
  <c r="N65" i="8"/>
  <c r="M65" i="8"/>
  <c r="L65" i="8"/>
  <c r="K65" i="8"/>
  <c r="J65" i="8"/>
  <c r="I65" i="8"/>
  <c r="H65" i="8"/>
  <c r="G65" i="8"/>
  <c r="F65" i="8"/>
  <c r="E65" i="8"/>
  <c r="D65" i="8"/>
  <c r="C65" i="8"/>
  <c r="R64" i="8"/>
  <c r="Q64" i="8"/>
  <c r="P64" i="8"/>
  <c r="O64" i="8"/>
  <c r="N64" i="8"/>
  <c r="M64" i="8"/>
  <c r="L64" i="8"/>
  <c r="K64" i="8"/>
  <c r="J64" i="8"/>
  <c r="I64" i="8"/>
  <c r="H64" i="8"/>
  <c r="G64" i="8"/>
  <c r="F64" i="8"/>
  <c r="E64" i="8"/>
  <c r="D64" i="8"/>
  <c r="C64" i="8"/>
  <c r="D63" i="8"/>
  <c r="C63" i="8"/>
  <c r="C53" i="8"/>
  <c r="C52" i="8"/>
  <c r="C51" i="8"/>
  <c r="C50" i="8"/>
  <c r="C49" i="8"/>
  <c r="R23" i="8"/>
  <c r="Q23" i="8"/>
  <c r="P23" i="8"/>
  <c r="O23" i="8"/>
  <c r="N23" i="8"/>
  <c r="M23" i="8"/>
  <c r="L23" i="8"/>
  <c r="K23" i="8"/>
  <c r="J23" i="8"/>
  <c r="I23" i="8"/>
  <c r="H23" i="8"/>
  <c r="G23" i="8"/>
  <c r="D23" i="8"/>
  <c r="R22" i="8"/>
  <c r="Q22" i="8"/>
  <c r="P22" i="8"/>
  <c r="O22" i="8"/>
  <c r="N22" i="8"/>
  <c r="M22" i="8"/>
  <c r="L22" i="8"/>
  <c r="K22" i="8"/>
  <c r="J22" i="8"/>
  <c r="I22" i="8"/>
  <c r="H22" i="8"/>
  <c r="G22" i="8"/>
  <c r="D22" i="8"/>
  <c r="F18" i="8"/>
  <c r="E18" i="8"/>
  <c r="F16" i="8"/>
  <c r="E16" i="8"/>
  <c r="E15" i="18" s="1"/>
  <c r="E18" i="18" s="1"/>
  <c r="R15" i="8"/>
  <c r="Q15" i="8"/>
  <c r="P15" i="8"/>
  <c r="O15" i="8"/>
  <c r="N15" i="8"/>
  <c r="M15" i="8"/>
  <c r="L15" i="8"/>
  <c r="K15" i="8"/>
  <c r="J15" i="8"/>
  <c r="I15" i="8"/>
  <c r="H15" i="8"/>
  <c r="G15" i="8"/>
  <c r="D15" i="8"/>
  <c r="S14" i="8"/>
  <c r="V60" i="18" s="1"/>
  <c r="E6" i="8"/>
  <c r="L14" i="18" l="1"/>
  <c r="L13" i="18"/>
  <c r="K37" i="18"/>
  <c r="K35" i="18" s="1"/>
  <c r="K69" i="18" s="1"/>
  <c r="L37" i="18"/>
  <c r="L35" i="18" s="1"/>
  <c r="L69" i="18" s="1"/>
  <c r="L72" i="18" s="1"/>
  <c r="F15" i="18"/>
  <c r="F18" i="18" s="1"/>
  <c r="F19" i="18" s="1"/>
  <c r="E63" i="8"/>
  <c r="E6" i="18"/>
  <c r="K14" i="18"/>
  <c r="K13" i="18"/>
  <c r="E19" i="18"/>
  <c r="E28" i="18"/>
  <c r="F28" i="18"/>
  <c r="D136" i="8"/>
  <c r="E136" i="8"/>
  <c r="L95" i="8"/>
  <c r="K95" i="8"/>
  <c r="G48" i="10"/>
  <c r="E37" i="10"/>
  <c r="E25" i="10"/>
  <c r="E28" i="10"/>
  <c r="P130" i="8"/>
  <c r="P140" i="8"/>
  <c r="F156" i="8"/>
  <c r="F50" i="18" s="1"/>
  <c r="O59" i="8"/>
  <c r="K156" i="8"/>
  <c r="K50" i="18" s="1"/>
  <c r="E167" i="8"/>
  <c r="F167" i="8"/>
  <c r="P59" i="8"/>
  <c r="E157" i="8"/>
  <c r="E20" i="18" s="1"/>
  <c r="O130" i="8"/>
  <c r="O140" i="8"/>
  <c r="S138" i="8"/>
  <c r="E156" i="8"/>
  <c r="E50" i="18" s="1"/>
  <c r="L156" i="8"/>
  <c r="L50" i="18" s="1"/>
  <c r="O164" i="8"/>
  <c r="P164" i="8"/>
  <c r="Q54" i="8"/>
  <c r="S54" i="8" s="1"/>
  <c r="R55" i="8"/>
  <c r="S55" i="8" s="1"/>
  <c r="O131" i="8"/>
  <c r="P131" i="8"/>
  <c r="F136" i="8"/>
  <c r="G164" i="8"/>
  <c r="G57" i="8"/>
  <c r="D56" i="8"/>
  <c r="H27" i="8"/>
  <c r="H57" i="8"/>
  <c r="K157" i="8"/>
  <c r="K20" i="18" s="1"/>
  <c r="L157" i="8"/>
  <c r="L20" i="18" s="1"/>
  <c r="K58" i="8"/>
  <c r="L58" i="8"/>
  <c r="F157" i="8"/>
  <c r="F20" i="18" s="1"/>
  <c r="G124" i="8"/>
  <c r="G137" i="8"/>
  <c r="H124" i="8"/>
  <c r="H137" i="8"/>
  <c r="J124" i="8"/>
  <c r="I27" i="8"/>
  <c r="N128" i="8"/>
  <c r="I124" i="8"/>
  <c r="R88" i="8"/>
  <c r="R134" i="8"/>
  <c r="S134" i="8" s="1"/>
  <c r="F35" i="8"/>
  <c r="H125" i="8"/>
  <c r="M84" i="8"/>
  <c r="M128" i="8"/>
  <c r="Q88" i="8"/>
  <c r="Q132" i="8"/>
  <c r="S132" i="8" s="1"/>
  <c r="E15" i="8"/>
  <c r="E35" i="8"/>
  <c r="G125" i="8"/>
  <c r="E34" i="10"/>
  <c r="E22" i="10"/>
  <c r="E31" i="10"/>
  <c r="D84" i="8"/>
  <c r="N165" i="8"/>
  <c r="N166" i="8" s="1"/>
  <c r="N168" i="8" s="1"/>
  <c r="N84" i="8"/>
  <c r="F165" i="8"/>
  <c r="F84" i="8"/>
  <c r="P165" i="8"/>
  <c r="P166" i="8" s="1"/>
  <c r="P168" i="8" s="1"/>
  <c r="P86" i="8"/>
  <c r="E84" i="8"/>
  <c r="O165" i="8"/>
  <c r="O166" i="8" s="1"/>
  <c r="O168" i="8" s="1"/>
  <c r="O86" i="8"/>
  <c r="G165" i="8"/>
  <c r="G166" i="8" s="1"/>
  <c r="G168" i="8" s="1"/>
  <c r="G84" i="8"/>
  <c r="H165" i="8"/>
  <c r="H166" i="8" s="1"/>
  <c r="H168" i="8" s="1"/>
  <c r="H84" i="8"/>
  <c r="I84" i="8"/>
  <c r="J84" i="8"/>
  <c r="L96" i="8"/>
  <c r="L94" i="8"/>
  <c r="S94" i="8" s="1"/>
  <c r="K96" i="8"/>
  <c r="F22" i="8"/>
  <c r="G24" i="8"/>
  <c r="G28" i="8" s="1"/>
  <c r="I24" i="8"/>
  <c r="I28" i="8" s="1"/>
  <c r="J81" i="8"/>
  <c r="G50" i="8"/>
  <c r="D81" i="8"/>
  <c r="D85" i="8" s="1"/>
  <c r="N81" i="8"/>
  <c r="R77" i="8"/>
  <c r="G81" i="8"/>
  <c r="G27" i="8"/>
  <c r="D123" i="8"/>
  <c r="F6" i="8"/>
  <c r="Q20" i="8"/>
  <c r="S13" i="8"/>
  <c r="V58" i="18" s="1"/>
  <c r="E81" i="8"/>
  <c r="G158" i="8"/>
  <c r="F15" i="8"/>
  <c r="K24" i="8"/>
  <c r="K30" i="8" s="1"/>
  <c r="H81" i="8"/>
  <c r="Q81" i="8"/>
  <c r="O20" i="8"/>
  <c r="G20" i="8"/>
  <c r="P29" i="8"/>
  <c r="K80" i="8"/>
  <c r="K127" i="8" s="1"/>
  <c r="K72" i="8"/>
  <c r="M24" i="8"/>
  <c r="M21" i="8" s="1"/>
  <c r="H20" i="8"/>
  <c r="P24" i="8"/>
  <c r="P30" i="8" s="1"/>
  <c r="L80" i="8"/>
  <c r="L127" i="8" s="1"/>
  <c r="L72" i="8"/>
  <c r="I20" i="8"/>
  <c r="Q31" i="8"/>
  <c r="K79" i="8"/>
  <c r="J20" i="8"/>
  <c r="R20" i="8"/>
  <c r="O77" i="8"/>
  <c r="S92" i="8"/>
  <c r="F81" i="8"/>
  <c r="I158" i="8"/>
  <c r="I159" i="8" s="1"/>
  <c r="O53" i="8"/>
  <c r="G77" i="8"/>
  <c r="N77" i="8"/>
  <c r="S129" i="8"/>
  <c r="O158" i="8"/>
  <c r="O159" i="8" s="1"/>
  <c r="K51" i="8"/>
  <c r="H24" i="8"/>
  <c r="H28" i="8" s="1"/>
  <c r="I77" i="8"/>
  <c r="S90" i="8"/>
  <c r="S91" i="8"/>
  <c r="H164" i="8"/>
  <c r="L24" i="8"/>
  <c r="J24" i="8"/>
  <c r="J21" i="8" s="1"/>
  <c r="R24" i="8"/>
  <c r="J77" i="8"/>
  <c r="F77" i="8"/>
  <c r="P77" i="8"/>
  <c r="I164" i="8"/>
  <c r="O24" i="8"/>
  <c r="O30" i="8" s="1"/>
  <c r="Q24" i="8"/>
  <c r="Q21" i="8" s="1"/>
  <c r="J158" i="8"/>
  <c r="J159" i="8" s="1"/>
  <c r="K20" i="8"/>
  <c r="N24" i="8"/>
  <c r="O29" i="8"/>
  <c r="I50" i="8"/>
  <c r="O81" i="8"/>
  <c r="Q164" i="8"/>
  <c r="J165" i="8"/>
  <c r="J166" i="8" s="1"/>
  <c r="J168" i="8" s="1"/>
  <c r="I81" i="8"/>
  <c r="R81" i="8"/>
  <c r="R165" i="8"/>
  <c r="R166" i="8" s="1"/>
  <c r="R168" i="8" s="1"/>
  <c r="L51" i="8"/>
  <c r="L164" i="8"/>
  <c r="L29" i="8"/>
  <c r="D24" i="8"/>
  <c r="D20" i="8"/>
  <c r="D27" i="8"/>
  <c r="E77" i="8"/>
  <c r="M20" i="8"/>
  <c r="F23" i="8"/>
  <c r="E22" i="8"/>
  <c r="H158" i="8"/>
  <c r="P158" i="8"/>
  <c r="P159" i="8" s="1"/>
  <c r="P53" i="8"/>
  <c r="N20" i="8"/>
  <c r="M52" i="8"/>
  <c r="P81" i="8"/>
  <c r="M81" i="8"/>
  <c r="I165" i="8"/>
  <c r="I166" i="8" s="1"/>
  <c r="I168" i="8" s="1"/>
  <c r="E165" i="8"/>
  <c r="E122" i="8"/>
  <c r="M165" i="8"/>
  <c r="M166" i="8" s="1"/>
  <c r="M168" i="8" s="1"/>
  <c r="E23" i="8"/>
  <c r="S11" i="8"/>
  <c r="N164" i="8"/>
  <c r="N158" i="8"/>
  <c r="N159" i="8" s="1"/>
  <c r="N52" i="8"/>
  <c r="H77" i="8"/>
  <c r="J27" i="8"/>
  <c r="J50" i="8"/>
  <c r="J164" i="8"/>
  <c r="R31" i="8"/>
  <c r="R164" i="8"/>
  <c r="P20" i="8"/>
  <c r="N27" i="8"/>
  <c r="H50" i="8"/>
  <c r="Q77" i="8"/>
  <c r="Q158" i="8"/>
  <c r="Q159" i="8" s="1"/>
  <c r="Q165" i="8"/>
  <c r="Q166" i="8" s="1"/>
  <c r="Q168" i="8" s="1"/>
  <c r="M164" i="8"/>
  <c r="M27" i="8"/>
  <c r="M158" i="8"/>
  <c r="M159" i="8" s="1"/>
  <c r="K164" i="8"/>
  <c r="K29" i="8"/>
  <c r="S68" i="8"/>
  <c r="D165" i="8"/>
  <c r="D166" i="8" s="1"/>
  <c r="D168" i="8" s="1"/>
  <c r="D122" i="8"/>
  <c r="D77" i="8"/>
  <c r="E123" i="8"/>
  <c r="R158" i="8"/>
  <c r="R159" i="8" s="1"/>
  <c r="M77" i="8"/>
  <c r="D164" i="8"/>
  <c r="D158" i="8"/>
  <c r="D159" i="8" s="1"/>
  <c r="D49" i="8"/>
  <c r="L79" i="8"/>
  <c r="L20" i="8"/>
  <c r="S70" i="8"/>
  <c r="V65" i="18" s="1"/>
  <c r="F122" i="8"/>
  <c r="K43" i="18" l="1"/>
  <c r="K47" i="18" s="1"/>
  <c r="K18" i="18"/>
  <c r="K17" i="18"/>
  <c r="H159" i="8"/>
  <c r="E193" i="8"/>
  <c r="G159" i="8"/>
  <c r="D193" i="8"/>
  <c r="L53" i="18"/>
  <c r="L43" i="18"/>
  <c r="L48" i="18" s="1"/>
  <c r="L17" i="18"/>
  <c r="L18" i="18"/>
  <c r="T93" i="8"/>
  <c r="G6" i="8"/>
  <c r="F6" i="18"/>
  <c r="K53" i="18"/>
  <c r="F26" i="18"/>
  <c r="F51" i="18" s="1"/>
  <c r="F48" i="18"/>
  <c r="F49" i="18" s="1"/>
  <c r="E26" i="18"/>
  <c r="E51" i="18" s="1"/>
  <c r="E48" i="18"/>
  <c r="E49" i="18" s="1"/>
  <c r="S20" i="18"/>
  <c r="K72" i="18"/>
  <c r="S72" i="18" s="1"/>
  <c r="S69" i="18"/>
  <c r="V72" i="18" s="1"/>
  <c r="S72" i="8"/>
  <c r="S15" i="8"/>
  <c r="S136" i="8"/>
  <c r="S167" i="8"/>
  <c r="Q163" i="8"/>
  <c r="R163" i="8"/>
  <c r="O163" i="8"/>
  <c r="F163" i="8"/>
  <c r="P163" i="8"/>
  <c r="S95" i="8"/>
  <c r="T95" i="8" s="1"/>
  <c r="I16" i="10"/>
  <c r="I19" i="10"/>
  <c r="I48" i="10" s="1"/>
  <c r="E163" i="8"/>
  <c r="J163" i="8"/>
  <c r="S59" i="8"/>
  <c r="I163" i="8"/>
  <c r="G163" i="8"/>
  <c r="S156" i="8"/>
  <c r="V50" i="18" s="1"/>
  <c r="M163" i="8"/>
  <c r="S140" i="8"/>
  <c r="H163" i="8"/>
  <c r="N163" i="8"/>
  <c r="D163" i="8"/>
  <c r="E166" i="8"/>
  <c r="E168" i="8" s="1"/>
  <c r="F166" i="8"/>
  <c r="F168" i="8" s="1"/>
  <c r="S57" i="8"/>
  <c r="S58" i="8"/>
  <c r="K139" i="8"/>
  <c r="E27" i="8"/>
  <c r="E56" i="8"/>
  <c r="F56" i="8"/>
  <c r="S137" i="8"/>
  <c r="L126" i="8"/>
  <c r="L139" i="8"/>
  <c r="T135" i="8"/>
  <c r="I13" i="10"/>
  <c r="V121" i="8"/>
  <c r="T133" i="8"/>
  <c r="S88" i="8"/>
  <c r="E158" i="8"/>
  <c r="E159" i="8" s="1"/>
  <c r="E20" i="8"/>
  <c r="E49" i="8"/>
  <c r="G21" i="8"/>
  <c r="S35" i="8"/>
  <c r="K86" i="8"/>
  <c r="K126" i="8"/>
  <c r="E164" i="8"/>
  <c r="D78" i="8"/>
  <c r="P78" i="8"/>
  <c r="P87" i="8"/>
  <c r="L158" i="8"/>
  <c r="L159" i="8" s="1"/>
  <c r="L86" i="8"/>
  <c r="E78" i="8"/>
  <c r="E85" i="8"/>
  <c r="G78" i="8"/>
  <c r="G85" i="8"/>
  <c r="R78" i="8"/>
  <c r="R89" i="8"/>
  <c r="Q78" i="8"/>
  <c r="Q89" i="8"/>
  <c r="N78" i="8"/>
  <c r="N85" i="8"/>
  <c r="I78" i="8"/>
  <c r="I85" i="8"/>
  <c r="F78" i="8"/>
  <c r="F85" i="8"/>
  <c r="H78" i="8"/>
  <c r="H85" i="8"/>
  <c r="M78" i="8"/>
  <c r="M85" i="8"/>
  <c r="S96" i="8"/>
  <c r="T96" i="8" s="1"/>
  <c r="O78" i="8"/>
  <c r="O87" i="8"/>
  <c r="J78" i="8"/>
  <c r="J85" i="8"/>
  <c r="O21" i="8"/>
  <c r="S128" i="8"/>
  <c r="F24" i="8"/>
  <c r="F28" i="8" s="1"/>
  <c r="S31" i="8"/>
  <c r="K21" i="8"/>
  <c r="S53" i="8"/>
  <c r="S125" i="8"/>
  <c r="I21" i="8"/>
  <c r="Q32" i="8"/>
  <c r="V72" i="8"/>
  <c r="L81" i="8"/>
  <c r="P21" i="8"/>
  <c r="L77" i="8"/>
  <c r="F63" i="8"/>
  <c r="K77" i="8"/>
  <c r="S84" i="8"/>
  <c r="S130" i="8"/>
  <c r="S124" i="8"/>
  <c r="S127" i="8"/>
  <c r="F158" i="8"/>
  <c r="F159" i="8" s="1"/>
  <c r="S157" i="8"/>
  <c r="V20" i="18" s="1"/>
  <c r="S131" i="8"/>
  <c r="S123" i="8"/>
  <c r="S29" i="8"/>
  <c r="V15" i="8"/>
  <c r="S50" i="8"/>
  <c r="N28" i="8"/>
  <c r="S80" i="8"/>
  <c r="F164" i="8"/>
  <c r="L21" i="8"/>
  <c r="M28" i="8"/>
  <c r="F27" i="8"/>
  <c r="T91" i="8"/>
  <c r="K81" i="8"/>
  <c r="N21" i="8"/>
  <c r="K165" i="8"/>
  <c r="K166" i="8" s="1"/>
  <c r="K168" i="8" s="1"/>
  <c r="F20" i="8"/>
  <c r="F49" i="8"/>
  <c r="L165" i="8"/>
  <c r="L166" i="8" s="1"/>
  <c r="L168" i="8" s="1"/>
  <c r="K158" i="8"/>
  <c r="K159" i="8" s="1"/>
  <c r="L30" i="8"/>
  <c r="S30" i="8" s="1"/>
  <c r="S122" i="8"/>
  <c r="R21" i="8"/>
  <c r="S23" i="8"/>
  <c r="S51" i="8"/>
  <c r="R32" i="8"/>
  <c r="J28" i="8"/>
  <c r="H21" i="8"/>
  <c r="S79" i="8"/>
  <c r="S22" i="8"/>
  <c r="E24" i="8"/>
  <c r="D28" i="8"/>
  <c r="D21" i="8"/>
  <c r="S52" i="8"/>
  <c r="K48" i="18" l="1"/>
  <c r="K49" i="18" s="1"/>
  <c r="L19" i="18"/>
  <c r="L47" i="18"/>
  <c r="L49" i="18" s="1"/>
  <c r="Q179" i="8"/>
  <c r="S18" i="18"/>
  <c r="J42" i="14" s="1"/>
  <c r="L42" i="14" s="1"/>
  <c r="C32" i="15" s="1"/>
  <c r="K19" i="18"/>
  <c r="S19" i="18" s="1"/>
  <c r="S17" i="18"/>
  <c r="H6" i="8"/>
  <c r="G6" i="18"/>
  <c r="G63" i="8"/>
  <c r="G179" i="8"/>
  <c r="O179" i="8"/>
  <c r="D179" i="8"/>
  <c r="F179" i="8"/>
  <c r="R176" i="8"/>
  <c r="D180" i="8"/>
  <c r="I179" i="8"/>
  <c r="P179" i="8"/>
  <c r="R179" i="8"/>
  <c r="G180" i="8"/>
  <c r="N179" i="8"/>
  <c r="J180" i="8"/>
  <c r="H180" i="8"/>
  <c r="K180" i="8"/>
  <c r="M179" i="8"/>
  <c r="N180" i="8"/>
  <c r="K179" i="8"/>
  <c r="J179" i="8"/>
  <c r="O180" i="8"/>
  <c r="L180" i="8"/>
  <c r="E179" i="8"/>
  <c r="H179" i="8"/>
  <c r="M180" i="8"/>
  <c r="I180" i="8"/>
  <c r="R180" i="8"/>
  <c r="Q180" i="8"/>
  <c r="F180" i="8"/>
  <c r="E180" i="8"/>
  <c r="L179" i="8"/>
  <c r="P180" i="8"/>
  <c r="J18" i="14"/>
  <c r="L18" i="14" s="1"/>
  <c r="C11" i="15" s="1"/>
  <c r="V159" i="8"/>
  <c r="J17" i="14"/>
  <c r="S166" i="8"/>
  <c r="Q176" i="8"/>
  <c r="L163" i="8"/>
  <c r="R149" i="8"/>
  <c r="Q149" i="8"/>
  <c r="S27" i="8"/>
  <c r="I47" i="10"/>
  <c r="I50" i="10" s="1"/>
  <c r="E19" i="10"/>
  <c r="E13" i="10"/>
  <c r="P152" i="8"/>
  <c r="S168" i="8"/>
  <c r="O152" i="8"/>
  <c r="K163" i="8"/>
  <c r="S139" i="8"/>
  <c r="T23" i="8"/>
  <c r="T80" i="8"/>
  <c r="S56" i="8"/>
  <c r="G152" i="8"/>
  <c r="D189" i="8" s="1"/>
  <c r="H152" i="8"/>
  <c r="E189" i="8" s="1"/>
  <c r="T138" i="8"/>
  <c r="R172" i="8"/>
  <c r="Q172" i="8"/>
  <c r="T129" i="8"/>
  <c r="G13" i="10"/>
  <c r="V48" i="8"/>
  <c r="I38" i="10"/>
  <c r="I41" i="10" s="1"/>
  <c r="S49" i="8"/>
  <c r="G12" i="16" s="1"/>
  <c r="S86" i="8"/>
  <c r="R150" i="8"/>
  <c r="G38" i="10"/>
  <c r="G20" i="10"/>
  <c r="S89" i="8"/>
  <c r="T89" i="8" s="1"/>
  <c r="S126" i="8"/>
  <c r="V135" i="8" s="1"/>
  <c r="L78" i="8"/>
  <c r="L87" i="8"/>
  <c r="K78" i="8"/>
  <c r="K87" i="8"/>
  <c r="T125" i="8"/>
  <c r="N151" i="8"/>
  <c r="I14" i="10"/>
  <c r="E16" i="10"/>
  <c r="Q150" i="8"/>
  <c r="S24" i="8"/>
  <c r="T24" i="8" s="1"/>
  <c r="F21" i="8"/>
  <c r="S32" i="8"/>
  <c r="T32" i="8" s="1"/>
  <c r="T131" i="8"/>
  <c r="T30" i="8"/>
  <c r="T123" i="8"/>
  <c r="S158" i="8"/>
  <c r="J43" i="14" s="1"/>
  <c r="L43" i="14" s="1"/>
  <c r="C33" i="15" s="1"/>
  <c r="I151" i="8"/>
  <c r="J151" i="8"/>
  <c r="S81" i="8"/>
  <c r="T81" i="8" s="1"/>
  <c r="C23" i="15" s="1"/>
  <c r="M151" i="8"/>
  <c r="T79" i="8"/>
  <c r="V81" i="8"/>
  <c r="E21" i="8"/>
  <c r="E28" i="8"/>
  <c r="S28" i="8" s="1"/>
  <c r="T22" i="8"/>
  <c r="V24" i="8"/>
  <c r="S48" i="18" l="1"/>
  <c r="J40" i="14" s="1"/>
  <c r="L40" i="14" s="1"/>
  <c r="C30" i="15" s="1"/>
  <c r="S47" i="18"/>
  <c r="J39" i="14" s="1"/>
  <c r="L39" i="14" s="1"/>
  <c r="C29" i="15" s="1"/>
  <c r="V19" i="18"/>
  <c r="H63" i="8"/>
  <c r="H6" i="18"/>
  <c r="I6" i="8"/>
  <c r="P149" i="8"/>
  <c r="S49" i="18"/>
  <c r="G47" i="10"/>
  <c r="G50" i="10" s="1"/>
  <c r="C13" i="15"/>
  <c r="C34" i="15"/>
  <c r="S180" i="8"/>
  <c r="T13" i="14" s="1"/>
  <c r="S179" i="8"/>
  <c r="T12" i="14" s="1"/>
  <c r="J41" i="14"/>
  <c r="G17" i="14"/>
  <c r="G39" i="14"/>
  <c r="R18" i="14"/>
  <c r="T18" i="14"/>
  <c r="S163" i="8"/>
  <c r="S145" i="8"/>
  <c r="C4" i="15"/>
  <c r="T17" i="14"/>
  <c r="L17" i="14"/>
  <c r="C10" i="15" s="1"/>
  <c r="J19" i="14"/>
  <c r="L19" i="14" s="1"/>
  <c r="C12" i="15" s="1"/>
  <c r="V163" i="8"/>
  <c r="W159" i="8"/>
  <c r="R17" i="14"/>
  <c r="R153" i="8"/>
  <c r="Q153" i="8"/>
  <c r="L176" i="8"/>
  <c r="L149" i="8"/>
  <c r="K176" i="8"/>
  <c r="P176" i="8"/>
  <c r="H176" i="8"/>
  <c r="J176" i="8"/>
  <c r="M176" i="8"/>
  <c r="F176" i="8"/>
  <c r="G176" i="8"/>
  <c r="D176" i="8"/>
  <c r="I176" i="8"/>
  <c r="E176" i="8"/>
  <c r="N176" i="8"/>
  <c r="O176" i="8"/>
  <c r="K149" i="8"/>
  <c r="O149" i="8"/>
  <c r="I149" i="8"/>
  <c r="D149" i="8"/>
  <c r="M149" i="8"/>
  <c r="N149" i="8"/>
  <c r="F149" i="8"/>
  <c r="G149" i="8"/>
  <c r="D186" i="8" s="1"/>
  <c r="E149" i="8"/>
  <c r="H149" i="8"/>
  <c r="E186" i="8" s="1"/>
  <c r="J149" i="8"/>
  <c r="G172" i="8"/>
  <c r="F172" i="8"/>
  <c r="E172" i="8"/>
  <c r="M172" i="8"/>
  <c r="T28" i="8"/>
  <c r="H172" i="8"/>
  <c r="G14" i="10"/>
  <c r="K13" i="10" s="1"/>
  <c r="M13" i="10" s="1"/>
  <c r="I172" i="8"/>
  <c r="N172" i="8"/>
  <c r="D172" i="8"/>
  <c r="J172" i="8"/>
  <c r="K152" i="8"/>
  <c r="L152" i="8"/>
  <c r="D152" i="8"/>
  <c r="E152" i="8"/>
  <c r="F152" i="8"/>
  <c r="H151" i="8"/>
  <c r="E188" i="8" s="1"/>
  <c r="G151" i="8"/>
  <c r="D188" i="8" s="1"/>
  <c r="K172" i="8"/>
  <c r="O172" i="8"/>
  <c r="P172" i="8"/>
  <c r="L172" i="8"/>
  <c r="I20" i="10"/>
  <c r="I35" i="10" s="1"/>
  <c r="M150" i="8"/>
  <c r="N150" i="8"/>
  <c r="H150" i="8"/>
  <c r="E187" i="8" s="1"/>
  <c r="P150" i="8"/>
  <c r="V55" i="8"/>
  <c r="S87" i="8"/>
  <c r="T87" i="8" s="1"/>
  <c r="I32" i="10"/>
  <c r="I29" i="10"/>
  <c r="G35" i="10"/>
  <c r="G26" i="10"/>
  <c r="K19" i="10"/>
  <c r="G41" i="10"/>
  <c r="K37" i="10"/>
  <c r="M37" i="10" s="1"/>
  <c r="G150" i="8"/>
  <c r="D187" i="8" s="1"/>
  <c r="T127" i="8"/>
  <c r="J150" i="8"/>
  <c r="I150" i="8"/>
  <c r="I23" i="10"/>
  <c r="I17" i="10"/>
  <c r="S85" i="8"/>
  <c r="T85" i="8" s="1"/>
  <c r="D150" i="8"/>
  <c r="F150" i="8"/>
  <c r="O150" i="8"/>
  <c r="E150" i="8"/>
  <c r="S143" i="8"/>
  <c r="V49" i="18" l="1"/>
  <c r="P153" i="8"/>
  <c r="J6" i="8"/>
  <c r="I6" i="18"/>
  <c r="I63" i="8"/>
  <c r="V180" i="8"/>
  <c r="J44" i="14"/>
  <c r="L41" i="14"/>
  <c r="C31" i="15" s="1"/>
  <c r="G8" i="14"/>
  <c r="T8" i="14" s="1"/>
  <c r="G30" i="14"/>
  <c r="D8" i="14"/>
  <c r="D30" i="14"/>
  <c r="J20" i="14"/>
  <c r="R19" i="14"/>
  <c r="T19" i="14"/>
  <c r="S147" i="8"/>
  <c r="G32" i="14" s="1"/>
  <c r="L32" i="14" s="1"/>
  <c r="C24" i="15" s="1"/>
  <c r="M153" i="8"/>
  <c r="N153" i="8"/>
  <c r="J153" i="8"/>
  <c r="D153" i="8"/>
  <c r="I153" i="8"/>
  <c r="H153" i="8"/>
  <c r="S176" i="8"/>
  <c r="R13" i="14" s="1"/>
  <c r="E153" i="8"/>
  <c r="O153" i="8"/>
  <c r="G153" i="8"/>
  <c r="F153" i="8"/>
  <c r="S149" i="8"/>
  <c r="G29" i="10"/>
  <c r="G17" i="10"/>
  <c r="G23" i="10"/>
  <c r="G32" i="10"/>
  <c r="S152" i="8"/>
  <c r="S172" i="8"/>
  <c r="I26" i="10"/>
  <c r="M19" i="10"/>
  <c r="K40" i="10"/>
  <c r="M40" i="10" s="1"/>
  <c r="K25" i="10"/>
  <c r="K34" i="10"/>
  <c r="M34" i="10" s="1"/>
  <c r="L150" i="8"/>
  <c r="L153" i="8" s="1"/>
  <c r="K150" i="8"/>
  <c r="K153" i="8" s="1"/>
  <c r="J6" i="18" l="1"/>
  <c r="K6" i="8"/>
  <c r="J63" i="8"/>
  <c r="K22" i="10"/>
  <c r="M22" i="10" s="1"/>
  <c r="K16" i="10"/>
  <c r="M16" i="10" s="1"/>
  <c r="K31" i="10"/>
  <c r="M31" i="10" s="1"/>
  <c r="K28" i="10"/>
  <c r="M28" i="10" s="1"/>
  <c r="T21" i="14"/>
  <c r="T23" i="14" s="1"/>
  <c r="R8" i="14"/>
  <c r="J15" i="14"/>
  <c r="L15" i="14" s="1"/>
  <c r="C9" i="15" s="1"/>
  <c r="J37" i="14"/>
  <c r="L37" i="14" s="1"/>
  <c r="C28" i="15" s="1"/>
  <c r="J12" i="14"/>
  <c r="L12" i="14" s="1"/>
  <c r="C6" i="15" s="1"/>
  <c r="J34" i="14"/>
  <c r="L34" i="14" s="1"/>
  <c r="C25" i="15" s="1"/>
  <c r="G10" i="14"/>
  <c r="V153" i="8"/>
  <c r="M25" i="10"/>
  <c r="S151" i="8"/>
  <c r="S150" i="8"/>
  <c r="I36" i="1"/>
  <c r="H36" i="1"/>
  <c r="G36" i="1"/>
  <c r="F36" i="1"/>
  <c r="E36" i="1"/>
  <c r="I35" i="1"/>
  <c r="H35" i="1"/>
  <c r="G35" i="1"/>
  <c r="F35" i="1"/>
  <c r="E35" i="1"/>
  <c r="I34" i="1"/>
  <c r="H34" i="1"/>
  <c r="G34" i="1"/>
  <c r="F34" i="1"/>
  <c r="E34" i="1"/>
  <c r="D36" i="1"/>
  <c r="D34" i="1"/>
  <c r="K6" i="18" l="1"/>
  <c r="K63" i="8"/>
  <c r="L6" i="8"/>
  <c r="M43" i="10"/>
  <c r="R12" i="14"/>
  <c r="J13" i="14"/>
  <c r="L13" i="14" s="1"/>
  <c r="C7" i="15" s="1"/>
  <c r="J35" i="14"/>
  <c r="L35" i="14" s="1"/>
  <c r="C26" i="15" s="1"/>
  <c r="J14" i="14"/>
  <c r="L14" i="14" s="1"/>
  <c r="C8" i="15" s="1"/>
  <c r="J36" i="14"/>
  <c r="L36" i="14" s="1"/>
  <c r="C27" i="15" s="1"/>
  <c r="G12" i="14"/>
  <c r="G21" i="14" s="1"/>
  <c r="G23" i="14" s="1"/>
  <c r="G34" i="14"/>
  <c r="G45" i="14" s="1"/>
  <c r="G47" i="14" s="1"/>
  <c r="R10" i="14"/>
  <c r="L10" i="14"/>
  <c r="C5" i="15" s="1"/>
  <c r="V179" i="8"/>
  <c r="W153" i="8"/>
  <c r="V176" i="8"/>
  <c r="V150" i="8"/>
  <c r="S160" i="8"/>
  <c r="K17" i="4"/>
  <c r="M17" i="4" s="1"/>
  <c r="L6" i="18" l="1"/>
  <c r="M6" i="8"/>
  <c r="L63" i="8"/>
  <c r="R21" i="14"/>
  <c r="R23" i="14" s="1"/>
  <c r="C36" i="15"/>
  <c r="C15" i="15"/>
  <c r="J38" i="14"/>
  <c r="J16" i="14"/>
  <c r="V160" i="8"/>
  <c r="V152" i="8"/>
  <c r="M6" i="18" l="1"/>
  <c r="N6" i="8"/>
  <c r="M63" i="8"/>
  <c r="N6" i="18" l="1"/>
  <c r="N63" i="8"/>
  <c r="O6" i="8"/>
  <c r="H39" i="1"/>
  <c r="H37" i="1"/>
  <c r="G39" i="1"/>
  <c r="G37" i="1"/>
  <c r="O6" i="18" l="1"/>
  <c r="P6" i="8"/>
  <c r="O63" i="8"/>
  <c r="V151" i="8"/>
  <c r="I15" i="4"/>
  <c r="G15" i="4"/>
  <c r="J37" i="1"/>
  <c r="J11" i="1"/>
  <c r="P6" i="18" l="1"/>
  <c r="Q6" i="8"/>
  <c r="P63" i="8"/>
  <c r="K11" i="4"/>
  <c r="K14" i="4"/>
  <c r="Q6" i="18" l="1"/>
  <c r="Q63" i="8"/>
  <c r="R6" i="8"/>
  <c r="M11" i="4"/>
  <c r="R63" i="8" l="1"/>
  <c r="R6" i="18"/>
  <c r="J31" i="3"/>
  <c r="J30" i="2" s="1"/>
  <c r="I21" i="3" l="1"/>
  <c r="H21" i="3"/>
  <c r="G21" i="3"/>
  <c r="F21" i="3"/>
  <c r="E21" i="3"/>
  <c r="I20" i="3"/>
  <c r="H20" i="3"/>
  <c r="G20" i="3"/>
  <c r="F20" i="3"/>
  <c r="E20" i="3"/>
  <c r="I19" i="3"/>
  <c r="H19" i="3"/>
  <c r="G19" i="3"/>
  <c r="F19" i="3"/>
  <c r="E19" i="3"/>
  <c r="D21" i="3"/>
  <c r="D20" i="3"/>
  <c r="C23" i="3"/>
  <c r="C22" i="3"/>
  <c r="C21" i="3"/>
  <c r="C20" i="3"/>
  <c r="I23" i="1"/>
  <c r="H23" i="1"/>
  <c r="G23" i="1"/>
  <c r="F23" i="1"/>
  <c r="E23" i="1"/>
  <c r="I22" i="1"/>
  <c r="H22" i="1"/>
  <c r="G22" i="1"/>
  <c r="F22" i="1"/>
  <c r="E22" i="1"/>
  <c r="D23" i="1"/>
  <c r="D22" i="1"/>
  <c r="C50" i="1"/>
  <c r="C49" i="1"/>
  <c r="C48" i="1"/>
  <c r="I49" i="1"/>
  <c r="H49" i="1"/>
  <c r="G49" i="1"/>
  <c r="F49" i="1"/>
  <c r="E49" i="1"/>
  <c r="I48" i="1"/>
  <c r="H48" i="1"/>
  <c r="G48" i="1"/>
  <c r="F48" i="1"/>
  <c r="E48" i="1"/>
  <c r="D48" i="1"/>
  <c r="D49" i="1"/>
  <c r="D19" i="3"/>
  <c r="C19" i="3"/>
  <c r="G60" i="1" l="1"/>
  <c r="H60" i="1"/>
  <c r="E60" i="1"/>
  <c r="F60" i="1"/>
  <c r="J60" i="1" s="1"/>
  <c r="I24" i="1"/>
  <c r="E61" i="1"/>
  <c r="F63" i="1"/>
  <c r="F61" i="1"/>
  <c r="H63" i="1"/>
  <c r="H61" i="1"/>
  <c r="G24" i="1"/>
  <c r="J22" i="1"/>
  <c r="G63" i="1"/>
  <c r="G61" i="1"/>
  <c r="H24" i="1"/>
  <c r="E24" i="1"/>
  <c r="J23" i="1"/>
  <c r="F24" i="1"/>
  <c r="D24" i="1"/>
  <c r="G50" i="1"/>
  <c r="H50" i="1"/>
  <c r="D50" i="1"/>
  <c r="I50" i="1"/>
  <c r="E50" i="1"/>
  <c r="F50" i="1"/>
  <c r="J48" i="1"/>
  <c r="J49" i="1"/>
  <c r="J40" i="1"/>
  <c r="J39" i="1"/>
  <c r="I41" i="1"/>
  <c r="H41" i="1"/>
  <c r="G41" i="1"/>
  <c r="F41" i="1"/>
  <c r="E41" i="1"/>
  <c r="I33" i="1"/>
  <c r="H33" i="1"/>
  <c r="G33" i="1"/>
  <c r="F33" i="1"/>
  <c r="E33" i="1"/>
  <c r="D33" i="1"/>
  <c r="I32" i="1"/>
  <c r="H32" i="1"/>
  <c r="G32" i="1"/>
  <c r="F32" i="1"/>
  <c r="J14" i="1"/>
  <c r="J13" i="1"/>
  <c r="I15" i="1"/>
  <c r="H15" i="1"/>
  <c r="G15" i="1"/>
  <c r="F15" i="1"/>
  <c r="E46" i="3" l="1"/>
  <c r="G46" i="3"/>
  <c r="G47" i="3" s="1"/>
  <c r="G48" i="3" s="1"/>
  <c r="G49" i="3" s="1"/>
  <c r="F46" i="3"/>
  <c r="H46" i="3"/>
  <c r="H47" i="3" s="1"/>
  <c r="H48" i="3" s="1"/>
  <c r="H49" i="3" s="1"/>
  <c r="H32" i="3"/>
  <c r="H39" i="3" s="1"/>
  <c r="H40" i="3" s="1"/>
  <c r="I46" i="3"/>
  <c r="I47" i="3" s="1"/>
  <c r="I48" i="3" s="1"/>
  <c r="I49" i="3" s="1"/>
  <c r="F47" i="3"/>
  <c r="F48" i="3" s="1"/>
  <c r="F49" i="3" s="1"/>
  <c r="F32" i="3"/>
  <c r="F39" i="3" s="1"/>
  <c r="F40" i="3" s="1"/>
  <c r="G32" i="3"/>
  <c r="G39" i="3" s="1"/>
  <c r="G40" i="3" s="1"/>
  <c r="I32" i="3"/>
  <c r="I39" i="3" s="1"/>
  <c r="I40" i="3" s="1"/>
  <c r="D56" i="1"/>
  <c r="H56" i="1"/>
  <c r="G56" i="1"/>
  <c r="F56" i="1"/>
  <c r="E56" i="1"/>
  <c r="H55" i="1"/>
  <c r="H62" i="1"/>
  <c r="H59" i="1"/>
  <c r="I46" i="1"/>
  <c r="I57" i="1"/>
  <c r="J57" i="1" s="1"/>
  <c r="F20" i="1"/>
  <c r="F28" i="1"/>
  <c r="F26" i="1"/>
  <c r="F29" i="1"/>
  <c r="J61" i="1"/>
  <c r="I27" i="1"/>
  <c r="J27" i="1" s="1"/>
  <c r="G19" i="16" s="1"/>
  <c r="J63" i="1"/>
  <c r="F21" i="1"/>
  <c r="E46" i="1"/>
  <c r="E55" i="1"/>
  <c r="E59" i="1"/>
  <c r="G21" i="1"/>
  <c r="G28" i="1"/>
  <c r="G29" i="1"/>
  <c r="G26" i="1"/>
  <c r="F46" i="1"/>
  <c r="F55" i="1"/>
  <c r="F62" i="1"/>
  <c r="F59" i="1"/>
  <c r="I47" i="1"/>
  <c r="I58" i="1"/>
  <c r="J58" i="1" s="1"/>
  <c r="H20" i="1"/>
  <c r="H26" i="1"/>
  <c r="H29" i="1"/>
  <c r="H28" i="1"/>
  <c r="G62" i="1"/>
  <c r="G59" i="1"/>
  <c r="G55" i="1"/>
  <c r="G46" i="1"/>
  <c r="H46" i="1"/>
  <c r="F47" i="1"/>
  <c r="I21" i="1"/>
  <c r="G20" i="1"/>
  <c r="H47" i="1"/>
  <c r="H21" i="1"/>
  <c r="E47" i="1"/>
  <c r="G47" i="1"/>
  <c r="I20" i="1"/>
  <c r="J15" i="1"/>
  <c r="J50" i="1"/>
  <c r="J24" i="1"/>
  <c r="J41" i="1"/>
  <c r="D41" i="1"/>
  <c r="E32" i="1"/>
  <c r="D32" i="1"/>
  <c r="C47" i="1"/>
  <c r="C46" i="1"/>
  <c r="C45" i="1"/>
  <c r="C44" i="1"/>
  <c r="C43" i="1"/>
  <c r="C42" i="1"/>
  <c r="C41" i="1"/>
  <c r="C40" i="1"/>
  <c r="C39" i="1"/>
  <c r="C38" i="1"/>
  <c r="C37" i="1"/>
  <c r="C36" i="1"/>
  <c r="C35" i="1"/>
  <c r="C34" i="1"/>
  <c r="C33" i="1"/>
  <c r="C32" i="1"/>
  <c r="K49" i="1" l="1"/>
  <c r="F14" i="3"/>
  <c r="I12" i="16"/>
  <c r="D46" i="3"/>
  <c r="K23" i="1"/>
  <c r="L11" i="2"/>
  <c r="L12" i="2"/>
  <c r="I19" i="16"/>
  <c r="I22" i="16" s="1"/>
  <c r="I43" i="3"/>
  <c r="K18" i="16"/>
  <c r="G22" i="16"/>
  <c r="F33" i="3"/>
  <c r="K58" i="1"/>
  <c r="F10" i="3"/>
  <c r="F15" i="3"/>
  <c r="J56" i="1"/>
  <c r="H33" i="3"/>
  <c r="I25" i="3"/>
  <c r="I26" i="3"/>
  <c r="I33" i="3"/>
  <c r="K24" i="1"/>
  <c r="J62" i="1"/>
  <c r="K63" i="1" s="1"/>
  <c r="F13" i="3" s="1"/>
  <c r="L30" i="2"/>
  <c r="J59" i="1"/>
  <c r="K60" i="1" s="1"/>
  <c r="E15" i="16" s="1"/>
  <c r="K48" i="1"/>
  <c r="J29" i="1"/>
  <c r="K50" i="1"/>
  <c r="D46" i="1"/>
  <c r="D55" i="1"/>
  <c r="J55" i="1" s="1"/>
  <c r="K22" i="1"/>
  <c r="G33" i="3"/>
  <c r="D47" i="1"/>
  <c r="D28" i="2"/>
  <c r="D7" i="2" s="1"/>
  <c r="N41" i="1"/>
  <c r="E15" i="1"/>
  <c r="D15" i="1"/>
  <c r="E47" i="3" l="1"/>
  <c r="E48" i="3" s="1"/>
  <c r="E49" i="3" s="1"/>
  <c r="G28" i="2"/>
  <c r="G7" i="2" s="1"/>
  <c r="D47" i="3"/>
  <c r="D48" i="3" s="1"/>
  <c r="D49" i="3" s="1"/>
  <c r="M18" i="16"/>
  <c r="I13" i="16"/>
  <c r="I16" i="16" s="1"/>
  <c r="K21" i="16"/>
  <c r="M21" i="16" s="1"/>
  <c r="K61" i="1"/>
  <c r="F9" i="3" s="1"/>
  <c r="I15" i="16"/>
  <c r="I27" i="16" s="1"/>
  <c r="I29" i="16" s="1"/>
  <c r="E32" i="3"/>
  <c r="E39" i="3" s="1"/>
  <c r="E40" i="3" s="1"/>
  <c r="D32" i="3"/>
  <c r="D39" i="3" s="1"/>
  <c r="F12" i="3"/>
  <c r="F8" i="3"/>
  <c r="I29" i="3"/>
  <c r="D26" i="1"/>
  <c r="E26" i="1"/>
  <c r="E28" i="1"/>
  <c r="J28" i="1" s="1"/>
  <c r="G15" i="16" s="1"/>
  <c r="F28" i="3"/>
  <c r="H28" i="3"/>
  <c r="G28" i="3"/>
  <c r="K56" i="1"/>
  <c r="D20" i="1"/>
  <c r="D21" i="1"/>
  <c r="E20" i="1"/>
  <c r="E21" i="1"/>
  <c r="N47" i="1"/>
  <c r="N46" i="1"/>
  <c r="N15" i="1"/>
  <c r="E14" i="4" l="1"/>
  <c r="M14" i="4" s="1"/>
  <c r="M20" i="4" s="1"/>
  <c r="M26" i="3" s="1"/>
  <c r="G27" i="16"/>
  <c r="G29" i="16" s="1"/>
  <c r="E33" i="3"/>
  <c r="E27" i="3"/>
  <c r="D40" i="3"/>
  <c r="M40" i="3" s="1"/>
  <c r="J39" i="3"/>
  <c r="G27" i="3"/>
  <c r="J28" i="3"/>
  <c r="J36" i="2" s="1"/>
  <c r="F27" i="3"/>
  <c r="H27" i="3"/>
  <c r="D33" i="3"/>
  <c r="J32" i="3"/>
  <c r="J26" i="1"/>
  <c r="N20" i="1"/>
  <c r="N21" i="1"/>
  <c r="O16" i="2" l="1"/>
  <c r="G13" i="16"/>
  <c r="G16" i="16" s="1"/>
  <c r="E43" i="3"/>
  <c r="G43" i="3"/>
  <c r="D43" i="3"/>
  <c r="H43" i="3"/>
  <c r="F43" i="3"/>
  <c r="M33" i="3"/>
  <c r="P30" i="4"/>
  <c r="L36" i="2"/>
  <c r="J18" i="2"/>
  <c r="L18" i="2" s="1"/>
  <c r="J40" i="3"/>
  <c r="G11" i="2" s="1"/>
  <c r="J13" i="2"/>
  <c r="L13" i="2" s="1"/>
  <c r="J27" i="3"/>
  <c r="J35" i="2" s="1"/>
  <c r="D25" i="3"/>
  <c r="G25" i="3"/>
  <c r="F25" i="3"/>
  <c r="E25" i="3"/>
  <c r="H25" i="3"/>
  <c r="G29" i="2"/>
  <c r="D26" i="3"/>
  <c r="F26" i="3"/>
  <c r="E26" i="3"/>
  <c r="H26" i="3"/>
  <c r="G26" i="3"/>
  <c r="J33" i="3"/>
  <c r="G30" i="2" s="1"/>
  <c r="J31" i="2"/>
  <c r="K12" i="16" l="1"/>
  <c r="M12" i="16" s="1"/>
  <c r="J43" i="3"/>
  <c r="P14" i="4"/>
  <c r="L35" i="2"/>
  <c r="J17" i="2"/>
  <c r="L17" i="2" s="1"/>
  <c r="K15" i="16"/>
  <c r="M15" i="16" s="1"/>
  <c r="H29" i="3"/>
  <c r="L29" i="2"/>
  <c r="G9" i="2"/>
  <c r="L9" i="2" s="1"/>
  <c r="G29" i="3"/>
  <c r="F29" i="3"/>
  <c r="J26" i="3"/>
  <c r="J34" i="2" s="1"/>
  <c r="L31" i="2"/>
  <c r="J32" i="2"/>
  <c r="J14" i="2" s="1"/>
  <c r="E29" i="3"/>
  <c r="D29" i="3"/>
  <c r="J25" i="3"/>
  <c r="M24" i="16" l="1"/>
  <c r="J40" i="2" s="1"/>
  <c r="L34" i="2"/>
  <c r="J16" i="2"/>
  <c r="L16" i="2" s="1"/>
  <c r="J33" i="2"/>
  <c r="J15" i="2" s="1"/>
  <c r="L15" i="2" s="1"/>
  <c r="J29" i="3"/>
  <c r="M29" i="3"/>
  <c r="G33" i="2" l="1"/>
  <c r="G15" i="2" s="1"/>
  <c r="G20" i="2" s="1"/>
  <c r="M43" i="3"/>
  <c r="L33" i="2"/>
  <c r="J37" i="2"/>
  <c r="J19" i="2" s="1"/>
  <c r="V172" i="8"/>
  <c r="G38" i="2" l="1"/>
</calcChain>
</file>

<file path=xl/sharedStrings.xml><?xml version="1.0" encoding="utf-8"?>
<sst xmlns="http://schemas.openxmlformats.org/spreadsheetml/2006/main" count="438" uniqueCount="283">
  <si>
    <t>A</t>
  </si>
  <si>
    <t>B</t>
  </si>
  <si>
    <t>) ×</t>
  </si>
  <si>
    <t>−</t>
  </si>
  <si>
    <t>=</t>
  </si>
  <si>
    <r>
      <rPr>
        <sz val="20"/>
        <color theme="1"/>
        <rFont val="Calibri"/>
        <family val="2"/>
      </rPr>
      <t xml:space="preserve">× </t>
    </r>
    <r>
      <rPr>
        <sz val="20"/>
        <color theme="1"/>
        <rFont val="等线"/>
        <family val="2"/>
        <scheme val="minor"/>
      </rPr>
      <t>(</t>
    </r>
  </si>
  <si>
    <t>C</t>
  </si>
  <si>
    <t>``</t>
  </si>
  <si>
    <t>Pl 1 - Wareh 2 - Cust B</t>
  </si>
  <si>
    <t>Pl 1 - Wareh 2 - Cust A</t>
  </si>
  <si>
    <t>Pl 1 - Wareh 3 - Cust A</t>
  </si>
  <si>
    <t>Pl 1 - Wareh 3 - Cust B</t>
  </si>
  <si>
    <t>Pl 2 - Wareh 3 - Cust A</t>
  </si>
  <si>
    <t>Pl 2 - Wareh 3 - Cust B</t>
  </si>
  <si>
    <t>Pl 2 - Wareh 3 - Cust C</t>
  </si>
  <si>
    <t>`</t>
  </si>
  <si>
    <t>卡车-1</t>
    <phoneticPr fontId="13" type="noConversion"/>
  </si>
  <si>
    <t>卡车-2</t>
    <phoneticPr fontId="13" type="noConversion"/>
  </si>
  <si>
    <t>卡车-3</t>
    <phoneticPr fontId="13" type="noConversion"/>
  </si>
  <si>
    <t>卡车-4</t>
    <phoneticPr fontId="13" type="noConversion"/>
  </si>
  <si>
    <t>铁路-1</t>
    <phoneticPr fontId="13" type="noConversion"/>
  </si>
  <si>
    <t>铁路-2</t>
    <phoneticPr fontId="13" type="noConversion"/>
  </si>
  <si>
    <t>铁路-3</t>
    <phoneticPr fontId="13" type="noConversion"/>
  </si>
  <si>
    <t>客户 A</t>
    <phoneticPr fontId="13" type="noConversion"/>
  </si>
  <si>
    <t>客户 B</t>
    <phoneticPr fontId="13" type="noConversion"/>
  </si>
  <si>
    <t>客户 C</t>
    <phoneticPr fontId="13" type="noConversion"/>
  </si>
  <si>
    <t>从仓库1运给客户A</t>
    <phoneticPr fontId="13" type="noConversion"/>
  </si>
  <si>
    <t>从仓库2运给客户A</t>
  </si>
  <si>
    <t>从仓库2运给客户B</t>
    <phoneticPr fontId="13" type="noConversion"/>
  </si>
  <si>
    <t>从仓库3运给客户A</t>
    <phoneticPr fontId="13" type="noConversion"/>
  </si>
  <si>
    <t>从仓库3运给客户B</t>
    <phoneticPr fontId="13" type="noConversion"/>
  </si>
  <si>
    <t>从仓库3运给客户C</t>
    <phoneticPr fontId="13" type="noConversion"/>
  </si>
  <si>
    <t>从仓库4运给客户C</t>
    <phoneticPr fontId="13" type="noConversion"/>
  </si>
  <si>
    <t>卡车运输，从仓库1运给客户A</t>
    <phoneticPr fontId="13" type="noConversion"/>
  </si>
  <si>
    <t>铁路运输，从仓库2运给客户A</t>
    <phoneticPr fontId="13" type="noConversion"/>
  </si>
  <si>
    <t>卡车运输，从仓库2运给客户B</t>
    <phoneticPr fontId="13" type="noConversion"/>
  </si>
  <si>
    <t>铁路运输，从仓库3运给客户B</t>
    <phoneticPr fontId="13" type="noConversion"/>
  </si>
  <si>
    <t>卡车</t>
    <phoneticPr fontId="13" type="noConversion"/>
  </si>
  <si>
    <t>铁路</t>
    <phoneticPr fontId="13" type="noConversion"/>
  </si>
  <si>
    <t>铁路-2</t>
    <phoneticPr fontId="13" type="noConversion"/>
  </si>
  <si>
    <t>卡车-4</t>
    <phoneticPr fontId="13" type="noConversion"/>
  </si>
  <si>
    <t>卡车-2</t>
    <phoneticPr fontId="13" type="noConversion"/>
  </si>
  <si>
    <t>卡车-3</t>
    <phoneticPr fontId="13" type="noConversion"/>
  </si>
  <si>
    <t>铁路-1</t>
    <phoneticPr fontId="13" type="noConversion"/>
  </si>
  <si>
    <t>卡车-1</t>
    <phoneticPr fontId="13" type="noConversion"/>
  </si>
  <si>
    <t>客户组合差异</t>
    <phoneticPr fontId="13" type="noConversion"/>
  </si>
  <si>
    <t>第一段费率差异</t>
    <phoneticPr fontId="13" type="noConversion"/>
  </si>
  <si>
    <t>第一段组合差异</t>
    <phoneticPr fontId="13" type="noConversion"/>
  </si>
  <si>
    <t>运输方式组合差异</t>
    <phoneticPr fontId="13" type="noConversion"/>
  </si>
  <si>
    <t>承运商组合差异</t>
    <phoneticPr fontId="13" type="noConversion"/>
  </si>
  <si>
    <t>=F23</t>
    <phoneticPr fontId="13" type="noConversion"/>
  </si>
  <si>
    <t>Difference check差额检验</t>
    <phoneticPr fontId="13" type="noConversion"/>
  </si>
  <si>
    <t>工厂1-仓库2-客户A</t>
    <phoneticPr fontId="13" type="noConversion"/>
  </si>
  <si>
    <t>工厂1-仓库2-客户B</t>
    <phoneticPr fontId="13" type="noConversion"/>
  </si>
  <si>
    <t>工厂1-仓库3-客户A</t>
    <phoneticPr fontId="13" type="noConversion"/>
  </si>
  <si>
    <t>工厂1-仓库3-客户B</t>
    <phoneticPr fontId="13" type="noConversion"/>
  </si>
  <si>
    <t>Pl 2 - Wareh 2 - Cust A工厂2-仓库2-客户A</t>
    <phoneticPr fontId="13" type="noConversion"/>
  </si>
  <si>
    <t>工厂2-仓库3-客户A</t>
    <phoneticPr fontId="13" type="noConversion"/>
  </si>
  <si>
    <t>工厂2-仓库3-客户B</t>
    <phoneticPr fontId="13" type="noConversion"/>
  </si>
  <si>
    <t>工厂2-仓库3-客户C</t>
    <phoneticPr fontId="13" type="noConversion"/>
  </si>
  <si>
    <t>驳船-1</t>
    <phoneticPr fontId="13" type="noConversion"/>
  </si>
  <si>
    <t>=I19</t>
    <phoneticPr fontId="13" type="noConversion"/>
  </si>
  <si>
    <t>面板A：实际额</t>
    <phoneticPr fontId="13" type="noConversion"/>
  </si>
  <si>
    <t>表1：本年度FHG第一个月的客户记录</t>
    <phoneticPr fontId="13" type="noConversion"/>
  </si>
  <si>
    <t>客户</t>
    <phoneticPr fontId="13" type="noConversion"/>
  </si>
  <si>
    <t>客户记录</t>
    <phoneticPr fontId="13" type="noConversion"/>
  </si>
  <si>
    <t>仓库</t>
    <phoneticPr fontId="13" type="noConversion"/>
  </si>
  <si>
    <t>运输方式（后一段）</t>
    <phoneticPr fontId="13" type="noConversion"/>
  </si>
  <si>
    <t>运输次数（后一段）</t>
    <phoneticPr fontId="13" type="noConversion"/>
  </si>
  <si>
    <t>承运商（后一段）</t>
    <phoneticPr fontId="13" type="noConversion"/>
  </si>
  <si>
    <t xml:space="preserve">     工厂1</t>
    <phoneticPr fontId="13" type="noConversion"/>
  </si>
  <si>
    <t xml:space="preserve">     工厂2</t>
    <phoneticPr fontId="13" type="noConversion"/>
  </si>
  <si>
    <t>总运输件数</t>
    <phoneticPr fontId="13" type="noConversion"/>
  </si>
  <si>
    <t>每次运输成本（后一段）</t>
    <phoneticPr fontId="13" type="noConversion"/>
  </si>
  <si>
    <t>第一段单位成本</t>
    <phoneticPr fontId="13" type="noConversion"/>
  </si>
  <si>
    <t>后一段单位成本</t>
    <phoneticPr fontId="13" type="noConversion"/>
  </si>
  <si>
    <t>单位成本总额</t>
    <phoneticPr fontId="13" type="noConversion"/>
  </si>
  <si>
    <t>第一段成本总额</t>
    <phoneticPr fontId="13" type="noConversion"/>
  </si>
  <si>
    <t>后一段成本总额</t>
    <phoneticPr fontId="13" type="noConversion"/>
  </si>
  <si>
    <t>总成本</t>
    <phoneticPr fontId="13" type="noConversion"/>
  </si>
  <si>
    <t>驳船</t>
    <phoneticPr fontId="13" type="noConversion"/>
  </si>
  <si>
    <t>合计</t>
    <phoneticPr fontId="13" type="noConversion"/>
  </si>
  <si>
    <t>平均数</t>
    <phoneticPr fontId="13" type="noConversion"/>
  </si>
  <si>
    <t>检验</t>
    <phoneticPr fontId="13" type="noConversion"/>
  </si>
  <si>
    <t>从工厂1运到仓库1，再运给客户A</t>
    <phoneticPr fontId="13" type="noConversion"/>
  </si>
  <si>
    <t>第一段成本</t>
    <phoneticPr fontId="13" type="noConversion"/>
  </si>
  <si>
    <t>后一段成本</t>
    <phoneticPr fontId="13" type="noConversion"/>
  </si>
  <si>
    <t>客户A、B和C的第一段成本</t>
    <phoneticPr fontId="13" type="noConversion"/>
  </si>
  <si>
    <t>从工厂1运到仓库2，再运给客户A</t>
    <phoneticPr fontId="13" type="noConversion"/>
  </si>
  <si>
    <t>从工厂1运到仓库2，再运给客户B</t>
    <phoneticPr fontId="13" type="noConversion"/>
  </si>
  <si>
    <t>客户A和B的第一段成本</t>
    <phoneticPr fontId="13" type="noConversion"/>
  </si>
  <si>
    <t>从工厂1运到仓库3，再运给客户A</t>
    <phoneticPr fontId="13" type="noConversion"/>
  </si>
  <si>
    <t>从工厂1运到仓库3，再运给客户B</t>
    <phoneticPr fontId="13" type="noConversion"/>
  </si>
  <si>
    <t>从工厂1运到仓库3，再运给客户C</t>
    <phoneticPr fontId="13" type="noConversion"/>
  </si>
  <si>
    <t>从工厂1运到仓库4，再运给客户C</t>
    <phoneticPr fontId="13" type="noConversion"/>
  </si>
  <si>
    <t>从工厂2运到仓库1，再运给客户A</t>
    <phoneticPr fontId="13" type="noConversion"/>
  </si>
  <si>
    <t>从工厂2运到仓库2，再运给客户A</t>
    <phoneticPr fontId="13" type="noConversion"/>
  </si>
  <si>
    <t>从工厂2运到仓库2，再运给客户B</t>
    <phoneticPr fontId="13" type="noConversion"/>
  </si>
  <si>
    <t>从工厂2运到仓库3，再运给客户A</t>
    <phoneticPr fontId="13" type="noConversion"/>
  </si>
  <si>
    <t>从工厂2运到仓库3，再运给客户B</t>
    <phoneticPr fontId="13" type="noConversion"/>
  </si>
  <si>
    <t>从工厂2运到仓库3，再运给客户C</t>
  </si>
  <si>
    <t>从工厂2运到仓库4，再运给客户C</t>
  </si>
  <si>
    <t>面板B：预算额</t>
    <phoneticPr fontId="13" type="noConversion"/>
  </si>
  <si>
    <t>总成本差异</t>
    <phoneticPr fontId="13" type="noConversion"/>
  </si>
  <si>
    <t>数量差异</t>
    <phoneticPr fontId="13" type="noConversion"/>
  </si>
  <si>
    <t>第一段路线组合差异</t>
    <phoneticPr fontId="13" type="noConversion"/>
  </si>
  <si>
    <t>后一段路线组合差异</t>
    <phoneticPr fontId="13" type="noConversion"/>
  </si>
  <si>
    <t>后一段运输方式组合差异</t>
    <phoneticPr fontId="13" type="noConversion"/>
  </si>
  <si>
    <t>后一段承运商组合差异</t>
    <phoneticPr fontId="13" type="noConversion"/>
  </si>
  <si>
    <t>后一段费率差异</t>
    <phoneticPr fontId="13" type="noConversion"/>
  </si>
  <si>
    <t>效率差异</t>
    <phoneticPr fontId="13" type="noConversion"/>
  </si>
  <si>
    <t>关于效率差异的更多详细信息</t>
    <phoneticPr fontId="13" type="noConversion"/>
  </si>
  <si>
    <t>实际每次运输件数</t>
    <phoneticPr fontId="13" type="noConversion"/>
  </si>
  <si>
    <t>预算每次运输件数</t>
    <phoneticPr fontId="13" type="noConversion"/>
  </si>
  <si>
    <t>本应该运输的次数</t>
    <phoneticPr fontId="13" type="noConversion"/>
  </si>
  <si>
    <t>实际发生的运输次数</t>
    <phoneticPr fontId="13" type="noConversion"/>
  </si>
  <si>
    <t>差额x预算每次运输成本</t>
    <phoneticPr fontId="13" type="noConversion"/>
  </si>
  <si>
    <t>关于第一段路线组合差异的更多详细信息</t>
    <phoneticPr fontId="13" type="noConversion"/>
  </si>
  <si>
    <t>与论文中方程相同的错误计算，因此每个工厂-仓库组合采用的是平均预算费率</t>
    <phoneticPr fontId="13" type="noConversion"/>
  </si>
  <si>
    <t>错误的第一段组合差异</t>
    <phoneticPr fontId="13" type="noConversion"/>
  </si>
  <si>
    <t>嵌套组合差异的变形</t>
    <phoneticPr fontId="13" type="noConversion"/>
  </si>
  <si>
    <t>变形1：后一段组合差异是使用的是客户记录水平的费率和数量，计算得到后一段组合+运输方式+承运商组合差异的总和(作业4讨论问题)</t>
    <phoneticPr fontId="13" type="noConversion"/>
  </si>
  <si>
    <t>后一段组合差异的变形</t>
    <phoneticPr fontId="13" type="noConversion"/>
  </si>
  <si>
    <t>后一段组合差异</t>
    <phoneticPr fontId="13" type="noConversion"/>
  </si>
  <si>
    <t>FHG的部分计算结果</t>
    <phoneticPr fontId="13" type="noConversion"/>
  </si>
  <si>
    <t>配送组合差异：</t>
    <phoneticPr fontId="13" type="noConversion"/>
  </si>
  <si>
    <t>承运商收费差异</t>
    <phoneticPr fontId="13" type="noConversion"/>
  </si>
  <si>
    <t>客户记录 4</t>
    <phoneticPr fontId="13" type="noConversion"/>
  </si>
  <si>
    <t>客户记录 5</t>
    <phoneticPr fontId="13" type="noConversion"/>
  </si>
  <si>
    <t>表A1：催化剂公司差异计算数据示例</t>
    <phoneticPr fontId="13" type="noConversion"/>
  </si>
  <si>
    <t>客户 A</t>
    <phoneticPr fontId="13" type="noConversion"/>
  </si>
  <si>
    <t>客户 B</t>
    <phoneticPr fontId="13" type="noConversion"/>
  </si>
  <si>
    <t>从仓库2运给客户A</t>
    <phoneticPr fontId="13" type="noConversion"/>
  </si>
  <si>
    <t>第一段运送成本 工厂1</t>
    <phoneticPr fontId="13" type="noConversion"/>
  </si>
  <si>
    <t>卡车运输，从仓库2运给客户A</t>
    <phoneticPr fontId="13" type="noConversion"/>
  </si>
  <si>
    <t>卡车</t>
    <phoneticPr fontId="13" type="noConversion"/>
  </si>
  <si>
    <t>铁路</t>
    <phoneticPr fontId="13" type="noConversion"/>
  </si>
  <si>
    <t>卡车-1</t>
    <phoneticPr fontId="13" type="noConversion"/>
  </si>
  <si>
    <t>卡车-2</t>
    <phoneticPr fontId="13" type="noConversion"/>
  </si>
  <si>
    <t>卡车-3</t>
    <phoneticPr fontId="13" type="noConversion"/>
  </si>
  <si>
    <t>卡车-4</t>
    <phoneticPr fontId="13" type="noConversion"/>
  </si>
  <si>
    <t>铁路-1</t>
    <phoneticPr fontId="13" type="noConversion"/>
  </si>
  <si>
    <t>铁路-2</t>
    <phoneticPr fontId="13" type="noConversion"/>
  </si>
  <si>
    <t>表A2：催化剂公司配送组合和承运商收费组合差异的详细计算</t>
    <phoneticPr fontId="13" type="noConversion"/>
  </si>
  <si>
    <t>面板A：差异计算中用到的预算平均单位成本</t>
    <phoneticPr fontId="13" type="noConversion"/>
  </si>
  <si>
    <t>后一段组合差异的单位成本</t>
    <phoneticPr fontId="13" type="noConversion"/>
  </si>
  <si>
    <t xml:space="preserve">    从仓库1运给客户A（全部运输方式）</t>
    <phoneticPr fontId="13" type="noConversion"/>
  </si>
  <si>
    <t xml:space="preserve">     从仓库2运给客户A（全部运输方式）</t>
    <phoneticPr fontId="13" type="noConversion"/>
  </si>
  <si>
    <t xml:space="preserve">     从仓库3运给客户B（全部运输方式）</t>
    <phoneticPr fontId="13" type="noConversion"/>
  </si>
  <si>
    <t>后一段运输方式组合差异的单位成本</t>
    <phoneticPr fontId="13" type="noConversion"/>
  </si>
  <si>
    <t xml:space="preserve">     从仓库1运给客户A（卡车运输）</t>
    <phoneticPr fontId="13" type="noConversion"/>
  </si>
  <si>
    <t xml:space="preserve">     从仓库2运给客户A（卡车运输）</t>
    <phoneticPr fontId="13" type="noConversion"/>
  </si>
  <si>
    <t xml:space="preserve">     从仓库2运给客户A（铁路运输）</t>
    <phoneticPr fontId="13" type="noConversion"/>
  </si>
  <si>
    <t xml:space="preserve">     从仓库3运给客户B（铁路运输）</t>
    <phoneticPr fontId="13" type="noConversion"/>
  </si>
  <si>
    <t>配送组合差异</t>
    <phoneticPr fontId="13" type="noConversion"/>
  </si>
  <si>
    <t xml:space="preserve">    第一段组合</t>
    <phoneticPr fontId="13" type="noConversion"/>
  </si>
  <si>
    <t xml:space="preserve">     后一段组合</t>
    <phoneticPr fontId="13" type="noConversion"/>
  </si>
  <si>
    <t xml:space="preserve">       运输方式差异</t>
    <phoneticPr fontId="13" type="noConversion"/>
  </si>
  <si>
    <t xml:space="preserve">          承运商差异</t>
    <phoneticPr fontId="13" type="noConversion"/>
  </si>
  <si>
    <t>配送组合总差异</t>
    <phoneticPr fontId="13" type="noConversion"/>
  </si>
  <si>
    <t xml:space="preserve">    费率差异</t>
    <phoneticPr fontId="13" type="noConversion"/>
  </si>
  <si>
    <t xml:space="preserve">    效率差异</t>
    <phoneticPr fontId="13" type="noConversion"/>
  </si>
  <si>
    <t>承运商收费总差异</t>
    <phoneticPr fontId="13" type="noConversion"/>
  </si>
  <si>
    <r>
      <t>加入第一段费率差异的方法修正</t>
    </r>
    <r>
      <rPr>
        <b/>
        <sz val="11"/>
        <color theme="1"/>
        <rFont val="等线"/>
        <family val="2"/>
        <scheme val="minor"/>
      </rPr>
      <t>（作业2）</t>
    </r>
    <phoneticPr fontId="13" type="noConversion"/>
  </si>
  <si>
    <t xml:space="preserve">     费率，第一段</t>
    <phoneticPr fontId="13" type="noConversion"/>
  </si>
  <si>
    <t xml:space="preserve">     费率，后一段</t>
    <phoneticPr fontId="13" type="noConversion"/>
  </si>
  <si>
    <t xml:space="preserve">     效率（只有后一段）</t>
    <phoneticPr fontId="13" type="noConversion"/>
  </si>
  <si>
    <t>第一段组合差异的错误计算（作业3）</t>
    <phoneticPr fontId="13" type="noConversion"/>
  </si>
  <si>
    <t>实际数量的标准运输次数</t>
    <phoneticPr fontId="13" type="noConversion"/>
  </si>
  <si>
    <t>与实际运输次数的差额</t>
    <phoneticPr fontId="13" type="noConversion"/>
  </si>
  <si>
    <t>表A3：催化剂公司嵌套组合差异的计算</t>
    <phoneticPr fontId="13" type="noConversion"/>
  </si>
  <si>
    <t>单位成本：每个仓库-客户组合的具体单位成本</t>
    <phoneticPr fontId="13" type="noConversion"/>
  </si>
  <si>
    <t>比例：每个仓库运输给特定客户的数量相对于每个客户运输总量的比例</t>
    <phoneticPr fontId="13" type="noConversion"/>
  </si>
  <si>
    <t>从仓库3运给客户B</t>
    <phoneticPr fontId="13" type="noConversion"/>
  </si>
  <si>
    <t>面板B：运输方式组合差异</t>
    <phoneticPr fontId="13" type="noConversion"/>
  </si>
  <si>
    <t>单位成本：每个运输方式-仓库-客户组合的特定单位成本</t>
    <phoneticPr fontId="13" type="noConversion"/>
  </si>
  <si>
    <t>铁路运输，从仓库2运给客户A</t>
    <phoneticPr fontId="13" type="noConversion"/>
  </si>
  <si>
    <t>面板C：承运商组合差异</t>
    <phoneticPr fontId="13" type="noConversion"/>
  </si>
  <si>
    <t>比例：每个承运商从特定仓库运给特定客户的数量相对所有承运商下从该特定仓库运给特定客户的总量的比例</t>
    <phoneticPr fontId="13" type="noConversion"/>
  </si>
  <si>
    <t>承运商2，卡车运输，仓库2，客户A</t>
    <phoneticPr fontId="13" type="noConversion"/>
  </si>
  <si>
    <t>承运商3，卡车运输，仓库2，客户A</t>
    <phoneticPr fontId="13" type="noConversion"/>
  </si>
  <si>
    <t>承运商4，卡车运输，仓库2，客户A</t>
    <phoneticPr fontId="13" type="noConversion"/>
  </si>
  <si>
    <r>
      <rPr>
        <u/>
        <sz val="11"/>
        <color theme="1"/>
        <rFont val="等线"/>
        <family val="2"/>
        <scheme val="minor"/>
      </rPr>
      <t>预算</t>
    </r>
    <r>
      <rPr>
        <sz val="11"/>
        <color theme="1"/>
        <rFont val="等线"/>
        <family val="2"/>
        <scheme val="minor"/>
      </rPr>
      <t xml:space="preserve"> 单位成本</t>
    </r>
    <phoneticPr fontId="13" type="noConversion"/>
  </si>
  <si>
    <r>
      <rPr>
        <u/>
        <sz val="11"/>
        <color theme="1"/>
        <rFont val="等线"/>
        <family val="2"/>
        <scheme val="minor"/>
      </rPr>
      <t>预算</t>
    </r>
    <r>
      <rPr>
        <sz val="11"/>
        <color theme="1"/>
        <rFont val="等线"/>
        <family val="2"/>
        <scheme val="minor"/>
      </rPr>
      <t>单位成本</t>
    </r>
    <phoneticPr fontId="13" type="noConversion"/>
  </si>
  <si>
    <r>
      <rPr>
        <u/>
        <sz val="11"/>
        <color theme="1"/>
        <rFont val="等线"/>
        <family val="2"/>
        <scheme val="minor"/>
      </rPr>
      <t>实际</t>
    </r>
    <r>
      <rPr>
        <sz val="11"/>
        <color theme="1"/>
        <rFont val="等线"/>
        <family val="2"/>
        <scheme val="minor"/>
      </rPr>
      <t>比例</t>
    </r>
    <phoneticPr fontId="13" type="noConversion"/>
  </si>
  <si>
    <r>
      <rPr>
        <u/>
        <sz val="11"/>
        <color theme="1"/>
        <rFont val="等线"/>
        <family val="2"/>
        <scheme val="minor"/>
      </rPr>
      <t>预算</t>
    </r>
    <r>
      <rPr>
        <sz val="11"/>
        <color theme="1"/>
        <rFont val="等线"/>
        <family val="2"/>
        <scheme val="minor"/>
      </rPr>
      <t>比例</t>
    </r>
    <phoneticPr fontId="13" type="noConversion"/>
  </si>
  <si>
    <t>组合差异</t>
    <phoneticPr fontId="13" type="noConversion"/>
  </si>
  <si>
    <t>成本总差异</t>
    <phoneticPr fontId="13" type="noConversion"/>
  </si>
  <si>
    <t>表TN-1：催化剂公司的差异概览</t>
    <phoneticPr fontId="13" type="noConversion"/>
  </si>
  <si>
    <t>(作业 2)</t>
    <phoneticPr fontId="13" type="noConversion"/>
  </si>
  <si>
    <t xml:space="preserve"> 注:
</t>
    <phoneticPr fontId="13" type="noConversion"/>
  </si>
  <si>
    <r>
      <rPr>
        <sz val="11"/>
        <color theme="1"/>
        <rFont val="等线"/>
        <family val="2"/>
      </rPr>
      <t>括号内的成本差异是指有利差异，按照实际成本</t>
    </r>
    <r>
      <rPr>
        <sz val="11"/>
        <color theme="1"/>
        <rFont val="Calibri"/>
        <family val="2"/>
      </rPr>
      <t>-</t>
    </r>
    <r>
      <rPr>
        <sz val="11"/>
        <color theme="1"/>
        <rFont val="等线"/>
        <family val="2"/>
      </rPr>
      <t>预算成本计算得到的。</t>
    </r>
    <phoneticPr fontId="13" type="noConversion"/>
  </si>
  <si>
    <t xml:space="preserve">这个概览包括额外的第一段的费率差异。
</t>
    <phoneticPr fontId="13" type="noConversion"/>
  </si>
  <si>
    <t>错误结果，未包含额外的第一段费率差异（如附录和原论文中所述）</t>
    <phoneticPr fontId="13" type="noConversion"/>
  </si>
  <si>
    <t>(注:第一段组合差异的计算已经在这个电子表格文件和教学案例附录中的催化剂公司计算中纠正了。)</t>
    <phoneticPr fontId="13" type="noConversion"/>
  </si>
  <si>
    <t>费率</t>
    <phoneticPr fontId="13" type="noConversion"/>
  </si>
  <si>
    <t>效率</t>
    <phoneticPr fontId="13" type="noConversion"/>
  </si>
  <si>
    <t>第一段组合</t>
    <phoneticPr fontId="13" type="noConversion"/>
  </si>
  <si>
    <t>第二段组合</t>
    <phoneticPr fontId="13" type="noConversion"/>
  </si>
  <si>
    <t>运输方式组合</t>
    <phoneticPr fontId="13" type="noConversion"/>
  </si>
  <si>
    <t>承运商组合</t>
    <phoneticPr fontId="13" type="noConversion"/>
  </si>
  <si>
    <t>第二段费率差异</t>
    <phoneticPr fontId="13" type="noConversion"/>
  </si>
  <si>
    <t>单位差异</t>
    <phoneticPr fontId="13" type="noConversion"/>
  </si>
  <si>
    <t>表TN-2：催化剂公司第一段组合差异的错误计算</t>
    <phoneticPr fontId="13" type="noConversion"/>
  </si>
  <si>
    <t>单位成本：每个工厂-仓库组合的特定单位成本</t>
    <phoneticPr fontId="13" type="noConversion"/>
  </si>
  <si>
    <t>比例：每个工厂-仓库组合的数量相对于每个客户的总量</t>
    <phoneticPr fontId="13" type="noConversion"/>
  </si>
  <si>
    <r>
      <rPr>
        <u/>
        <sz val="11"/>
        <color theme="1"/>
        <rFont val="等线"/>
        <family val="2"/>
        <scheme val="minor"/>
      </rPr>
      <t>实际</t>
    </r>
    <r>
      <rPr>
        <sz val="11"/>
        <color theme="1"/>
        <rFont val="等线"/>
        <family val="2"/>
        <scheme val="minor"/>
      </rPr>
      <t xml:space="preserve"> 比例</t>
    </r>
    <phoneticPr fontId="13" type="noConversion"/>
  </si>
  <si>
    <r>
      <rPr>
        <u/>
        <sz val="11"/>
        <color theme="1"/>
        <rFont val="等线"/>
        <family val="2"/>
        <scheme val="minor"/>
      </rPr>
      <t>预算</t>
    </r>
    <r>
      <rPr>
        <sz val="11"/>
        <color theme="1"/>
        <rFont val="等线"/>
        <family val="2"/>
        <scheme val="minor"/>
      </rPr>
      <t xml:space="preserve"> 比例</t>
    </r>
    <phoneticPr fontId="13" type="noConversion"/>
  </si>
  <si>
    <r>
      <rPr>
        <u/>
        <sz val="11"/>
        <color theme="1"/>
        <rFont val="等线"/>
        <family val="2"/>
        <scheme val="minor"/>
      </rPr>
      <t>实际</t>
    </r>
    <r>
      <rPr>
        <sz val="11"/>
        <color theme="1"/>
        <rFont val="等线"/>
        <family val="2"/>
        <scheme val="minor"/>
      </rPr>
      <t xml:space="preserve"> 总量</t>
    </r>
    <phoneticPr fontId="13" type="noConversion"/>
  </si>
  <si>
    <t>工厂1-仓库1-客户A</t>
    <phoneticPr fontId="13" type="noConversion"/>
  </si>
  <si>
    <t>表TN-3:FHG差异概览</t>
    <phoneticPr fontId="13" type="noConversion"/>
  </si>
  <si>
    <t>(作业 4)</t>
    <phoneticPr fontId="13" type="noConversion"/>
  </si>
  <si>
    <t>面板A：FHG的差异</t>
    <phoneticPr fontId="13" type="noConversion"/>
  </si>
  <si>
    <t>面板B：变形</t>
    <phoneticPr fontId="13" type="noConversion"/>
  </si>
  <si>
    <t>第一段FLT/LTL组合费率差异</t>
    <phoneticPr fontId="13" type="noConversion"/>
  </si>
  <si>
    <t>第一段剩余费率差异</t>
    <phoneticPr fontId="13" type="noConversion"/>
  </si>
  <si>
    <t>后一段燃油价格费率差异</t>
    <phoneticPr fontId="13" type="noConversion"/>
  </si>
  <si>
    <t>后一段剩余费率差异</t>
    <phoneticPr fontId="13" type="noConversion"/>
  </si>
  <si>
    <t>表TN-6:包含改进后的FHG的差异概览</t>
    <phoneticPr fontId="13" type="noConversion"/>
  </si>
  <si>
    <t>(作业 5)</t>
    <phoneticPr fontId="13" type="noConversion"/>
  </si>
  <si>
    <t>表TN-2：FHG第一段组合差异的错误计算</t>
    <phoneticPr fontId="13" type="noConversion"/>
  </si>
  <si>
    <t>（作业4讨论问题）</t>
    <phoneticPr fontId="13" type="noConversion"/>
  </si>
  <si>
    <r>
      <rPr>
        <u/>
        <sz val="11"/>
        <color theme="1"/>
        <rFont val="等线"/>
        <family val="2"/>
        <scheme val="minor"/>
      </rPr>
      <t xml:space="preserve">实际 </t>
    </r>
    <r>
      <rPr>
        <sz val="11"/>
        <color theme="1"/>
        <rFont val="等线"/>
        <family val="2"/>
        <scheme val="minor"/>
      </rPr>
      <t>总量</t>
    </r>
    <phoneticPr fontId="13" type="noConversion"/>
  </si>
  <si>
    <t>工厂2-仓库4-客户C</t>
    <phoneticPr fontId="13" type="noConversion"/>
  </si>
  <si>
    <t>总计</t>
    <phoneticPr fontId="13" type="noConversion"/>
  </si>
  <si>
    <t>表TN-5:改进后的差异分析</t>
    <phoneticPr fontId="13" type="noConversion"/>
  </si>
  <si>
    <t>面板A：变形1-后一段燃油价格的单位费率调整</t>
    <phoneticPr fontId="13" type="noConversion"/>
  </si>
  <si>
    <t>燃油价格占每次运输成本的份额</t>
    <phoneticPr fontId="13" type="noConversion"/>
  </si>
  <si>
    <t>燃油价格指数</t>
    <phoneticPr fontId="13" type="noConversion"/>
  </si>
  <si>
    <t>调整后的预算每次运输成本</t>
    <phoneticPr fontId="13" type="noConversion"/>
  </si>
  <si>
    <t>预算每次运输成本</t>
    <phoneticPr fontId="13" type="noConversion"/>
  </si>
  <si>
    <t>实际每次运输成本</t>
    <phoneticPr fontId="13" type="noConversion"/>
  </si>
  <si>
    <t>实际运输次数</t>
    <phoneticPr fontId="13" type="noConversion"/>
  </si>
  <si>
    <t>燃油价格费率差异</t>
    <phoneticPr fontId="13" type="noConversion"/>
  </si>
  <si>
    <t>剩余费率差异</t>
    <phoneticPr fontId="13" type="noConversion"/>
  </si>
  <si>
    <t>面板B：变形2-第一段FTL和LTL组合效果的分解（作业5）</t>
    <phoneticPr fontId="13" type="noConversion"/>
  </si>
  <si>
    <t>计算方法1：按照调整后的费率基础（实际的FLT/LTL 组合，预算的FLT/LTL 费率）分解总差异</t>
    <phoneticPr fontId="13" type="noConversion"/>
  </si>
  <si>
    <t>实际：</t>
    <phoneticPr fontId="13" type="noConversion"/>
  </si>
  <si>
    <t>LTL，工厂1的单位成本</t>
    <phoneticPr fontId="13" type="noConversion"/>
  </si>
  <si>
    <t>FTL，工厂1的单位成本</t>
    <phoneticPr fontId="13" type="noConversion"/>
  </si>
  <si>
    <t>工厂1 FTL运输的数量百分比</t>
    <phoneticPr fontId="13" type="noConversion"/>
  </si>
  <si>
    <t>工厂1的平均单位成本</t>
    <phoneticPr fontId="13" type="noConversion"/>
  </si>
  <si>
    <t>FTL，工厂2的单位成本</t>
    <phoneticPr fontId="13" type="noConversion"/>
  </si>
  <si>
    <t>LTL，工厂2的单位成本</t>
    <phoneticPr fontId="13" type="noConversion"/>
  </si>
  <si>
    <t>工厂2 FTL运输的数量百分比</t>
    <phoneticPr fontId="13" type="noConversion"/>
  </si>
  <si>
    <t>工厂2的平均单位成本</t>
    <phoneticPr fontId="13" type="noConversion"/>
  </si>
  <si>
    <t>预算：</t>
    <phoneticPr fontId="13" type="noConversion"/>
  </si>
  <si>
    <t>工厂1的实际运输数量</t>
    <phoneticPr fontId="13" type="noConversion"/>
  </si>
  <si>
    <t>FLT/LTL组合的费率差异</t>
    <phoneticPr fontId="13" type="noConversion"/>
  </si>
  <si>
    <t>工厂2的实际运输数量</t>
    <phoneticPr fontId="13" type="noConversion"/>
  </si>
  <si>
    <t>计算方法2：具体组合差异（计算每个工厂-客户记录组合的FLT和LTL数量相对于总量的具体组合差异）</t>
    <phoneticPr fontId="13" type="noConversion"/>
  </si>
  <si>
    <t xml:space="preserve"> FTL，工厂1的运输数量</t>
    <phoneticPr fontId="13" type="noConversion"/>
  </si>
  <si>
    <t xml:space="preserve"> LTL，工厂1的运输数量</t>
    <phoneticPr fontId="13" type="noConversion"/>
  </si>
  <si>
    <t>TTL，工厂2的运输数量</t>
    <phoneticPr fontId="13" type="noConversion"/>
  </si>
  <si>
    <t>LTL，工厂2的运输数量</t>
    <phoneticPr fontId="13" type="noConversion"/>
  </si>
  <si>
    <t>工厂1的运输数量</t>
    <phoneticPr fontId="13" type="noConversion"/>
  </si>
  <si>
    <t>工厂2的运输数量</t>
    <phoneticPr fontId="13" type="noConversion"/>
  </si>
  <si>
    <t>FLT工厂1的组合差异</t>
    <phoneticPr fontId="13" type="noConversion"/>
  </si>
  <si>
    <t>LTL工厂1的组合差异</t>
    <phoneticPr fontId="13" type="noConversion"/>
  </si>
  <si>
    <t>FLT工厂2的组合差异</t>
    <phoneticPr fontId="13" type="noConversion"/>
  </si>
  <si>
    <t>LTL工厂2的组合差异</t>
    <phoneticPr fontId="13" type="noConversion"/>
  </si>
  <si>
    <t>FTL/LTL组合总差异</t>
    <phoneticPr fontId="13" type="noConversion"/>
  </si>
  <si>
    <t>预算单位成本</t>
    <phoneticPr fontId="13" type="noConversion"/>
  </si>
  <si>
    <t>客户组合</t>
    <phoneticPr fontId="13" type="noConversion"/>
  </si>
  <si>
    <t>后一段路线组合</t>
    <phoneticPr fontId="13" type="noConversion"/>
  </si>
  <si>
    <t>第一段费率</t>
    <phoneticPr fontId="13" type="noConversion"/>
  </si>
  <si>
    <t>后一段费率</t>
    <phoneticPr fontId="13" type="noConversion"/>
  </si>
  <si>
    <t>实际单位成本</t>
    <phoneticPr fontId="13" type="noConversion"/>
  </si>
  <si>
    <t>第一段FTL/LTL组合</t>
    <phoneticPr fontId="13" type="noConversion"/>
  </si>
  <si>
    <t>后一段燃油价格调整</t>
    <phoneticPr fontId="13" type="noConversion"/>
  </si>
  <si>
    <r>
      <t>调整后的单位成本（实际的FLT/LTL</t>
    </r>
    <r>
      <rPr>
        <sz val="11"/>
        <rFont val="等线"/>
        <charset val="134"/>
        <scheme val="minor"/>
      </rPr>
      <t>组合，预算的FTL和 LTL的费率）</t>
    </r>
    <phoneticPr fontId="13" type="noConversion"/>
  </si>
  <si>
    <r>
      <rPr>
        <sz val="11"/>
        <rFont val="等线"/>
        <charset val="134"/>
        <scheme val="minor"/>
      </rPr>
      <t>每件差异</t>
    </r>
    <phoneticPr fontId="13" type="noConversion"/>
  </si>
  <si>
    <r>
      <t>面板A：后一段组合差异（</t>
    </r>
    <r>
      <rPr>
        <b/>
        <sz val="11"/>
        <rFont val="等线"/>
        <charset val="134"/>
        <scheme val="minor"/>
      </rPr>
      <t>带括号的金额表示有利差异）</t>
    </r>
    <phoneticPr fontId="13" type="noConversion"/>
  </si>
  <si>
    <r>
      <t xml:space="preserve"> 比例：每种运输方式的从特定仓库运给特定客户的数量相对于</t>
    </r>
    <r>
      <rPr>
        <sz val="11"/>
        <rFont val="等线"/>
        <charset val="134"/>
        <scheme val="minor"/>
      </rPr>
      <t>所有运输方式下从该特定仓库运给特定客户的总量的比例</t>
    </r>
    <phoneticPr fontId="13" type="noConversion"/>
  </si>
  <si>
    <r>
      <t>单位成本：每个承运商-运输方式-仓库-客户组合的</t>
    </r>
    <r>
      <rPr>
        <sz val="11"/>
        <rFont val="等线"/>
        <charset val="134"/>
        <scheme val="minor"/>
      </rPr>
      <t>特定单位成本</t>
    </r>
    <phoneticPr fontId="13" type="noConversion"/>
  </si>
  <si>
    <r>
      <t>面板B：配送组合与和承运商收费组合差异（</t>
    </r>
    <r>
      <rPr>
        <b/>
        <sz val="11"/>
        <rFont val="等线"/>
        <charset val="134"/>
        <scheme val="minor"/>
      </rPr>
      <t>带括号的金额表示有利差异）</t>
    </r>
    <phoneticPr fontId="13" type="noConversion"/>
  </si>
  <si>
    <r>
      <rPr>
        <sz val="11"/>
        <rFont val="等线"/>
        <charset val="134"/>
        <scheme val="minor"/>
      </rPr>
      <t>预算每次运输数量</t>
    </r>
    <phoneticPr fontId="13" type="noConversion"/>
  </si>
  <si>
    <t>差额×预算每次运输成本</t>
    <phoneticPr fontId="13" type="noConversion"/>
  </si>
  <si>
    <r>
      <t>运输</t>
    </r>
    <r>
      <rPr>
        <sz val="11"/>
        <rFont val="等线"/>
        <charset val="134"/>
        <scheme val="minor"/>
      </rPr>
      <t>件数</t>
    </r>
    <phoneticPr fontId="13" type="noConversion"/>
  </si>
  <si>
    <r>
      <t xml:space="preserve">* </t>
    </r>
    <r>
      <rPr>
        <sz val="11"/>
        <rFont val="等线"/>
        <charset val="134"/>
        <scheme val="minor"/>
      </rPr>
      <t>后一段的成本按运输次数付费，无论运输的件数是多少。</t>
    </r>
    <phoneticPr fontId="13" type="noConversion"/>
  </si>
  <si>
    <t>** 第一段的成本是按运输件数付费。</t>
    <phoneticPr fontId="13" type="noConversion"/>
  </si>
  <si>
    <r>
      <t>论文中的效率差异</t>
    </r>
    <r>
      <rPr>
        <sz val="11"/>
        <rFont val="等线"/>
        <charset val="134"/>
        <scheme val="minor"/>
      </rPr>
      <t>公式</t>
    </r>
    <phoneticPr fontId="13" type="noConversion"/>
  </si>
  <si>
    <t>变形2：按照工厂或客户记录水平的费率和运输数量，以及每次运输数量相对于总量的占比，这意味着组合差异现在还包括客户组合的影响(作业4讨论问题)</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</si>
</sst>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quot;$&quot;#,##0\)"/>
    <numFmt numFmtId="177" formatCode="&quot;$&quot;#,##0.00_);\(&quot;$&quot;#,##0.00\)"/>
    <numFmt numFmtId="178" formatCode="_(&quot;$&quot;* #,##0.00_);_(&quot;$&quot;* \(#,##0.00\);_(&quot;$&quot;* &quot;-&quot;??_);_(@_)"/>
    <numFmt numFmtId="179" formatCode="#,##0.000000000"/>
    <numFmt numFmtId="180" formatCode="#,##0.0000000000"/>
    <numFmt numFmtId="181" formatCode="&quot;$&quot;#,##0.00"/>
    <numFmt numFmtId="182" formatCode="&quot;$&quot;#,##0"/>
    <numFmt numFmtId="183" formatCode="0.0"/>
    <numFmt numFmtId="184" formatCode="&quot;$&quot;#,##0.00000"/>
  </numFmts>
  <fonts count="23" x14ac:knownFonts="1">
    <font>
      <sz val="11"/>
      <color theme="1"/>
      <name val="等线"/>
      <family val="2"/>
      <scheme val="minor"/>
    </font>
    <font>
      <sz val="11"/>
      <color theme="1"/>
      <name val="等线"/>
      <family val="2"/>
      <scheme val="minor"/>
    </font>
    <font>
      <b/>
      <sz val="11"/>
      <color theme="1"/>
      <name val="等线"/>
      <family val="2"/>
      <scheme val="minor"/>
    </font>
    <font>
      <i/>
      <sz val="11"/>
      <color theme="1"/>
      <name val="等线"/>
      <family val="2"/>
      <scheme val="minor"/>
    </font>
    <font>
      <i/>
      <sz val="10"/>
      <color theme="1"/>
      <name val="等线"/>
      <family val="2"/>
      <scheme val="minor"/>
    </font>
    <font>
      <sz val="11"/>
      <color theme="1"/>
      <name val="Calibri"/>
      <family val="2"/>
    </font>
    <font>
      <i/>
      <sz val="9"/>
      <color theme="1"/>
      <name val="等线"/>
      <family val="2"/>
      <scheme val="minor"/>
    </font>
    <font>
      <u/>
      <sz val="11"/>
      <color theme="1"/>
      <name val="等线"/>
      <family val="2"/>
      <scheme val="minor"/>
    </font>
    <font>
      <sz val="20"/>
      <color theme="1"/>
      <name val="Calibri"/>
      <family val="2"/>
    </font>
    <font>
      <sz val="20"/>
      <color theme="1"/>
      <name val="等线"/>
      <family val="2"/>
      <scheme val="minor"/>
    </font>
    <font>
      <b/>
      <sz val="20"/>
      <color theme="1"/>
      <name val="Calibri"/>
      <family val="2"/>
    </font>
    <font>
      <sz val="10"/>
      <color theme="1"/>
      <name val="等线"/>
      <family val="2"/>
      <scheme val="minor"/>
    </font>
    <font>
      <b/>
      <i/>
      <sz val="11"/>
      <color theme="1"/>
      <name val="等线"/>
      <family val="2"/>
      <scheme val="minor"/>
    </font>
    <font>
      <sz val="9"/>
      <name val="等线"/>
      <family val="3"/>
      <charset val="134"/>
      <scheme val="minor"/>
    </font>
    <font>
      <sz val="11"/>
      <color theme="1"/>
      <name val="等线"/>
      <family val="2"/>
    </font>
    <font>
      <sz val="11"/>
      <color theme="1"/>
      <name val="等线"/>
      <family val="3"/>
      <charset val="134"/>
      <scheme val="minor"/>
    </font>
    <font>
      <sz val="11"/>
      <name val="等线"/>
      <family val="3"/>
      <charset val="134"/>
      <scheme val="minor"/>
    </font>
    <font>
      <sz val="11"/>
      <name val="等线"/>
      <charset val="134"/>
      <scheme val="minor"/>
    </font>
    <font>
      <sz val="11"/>
      <name val="等线"/>
      <family val="2"/>
      <scheme val="minor"/>
    </font>
    <font>
      <b/>
      <sz val="11"/>
      <name val="等线"/>
      <family val="3"/>
      <charset val="134"/>
      <scheme val="minor"/>
    </font>
    <font>
      <b/>
      <sz val="11"/>
      <name val="等线"/>
      <family val="2"/>
      <scheme val="minor"/>
    </font>
    <font>
      <b/>
      <sz val="11"/>
      <name val="等线"/>
      <charset val="134"/>
      <scheme val="minor"/>
    </font>
    <font>
      <b/>
      <i/>
      <sz val="11"/>
      <name val="等线"/>
      <charset val="134"/>
      <scheme val="minor"/>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8" fontId="1" fillId="0" borderId="0" applyFont="0" applyFill="0" applyBorder="0" applyAlignment="0" applyProtection="0"/>
  </cellStyleXfs>
  <cellXfs count="190">
    <xf numFmtId="0" fontId="0" fillId="0" borderId="0" xfId="0"/>
    <xf numFmtId="0" fontId="0" fillId="0" borderId="0" xfId="0" applyAlignment="1">
      <alignment horizontal="center"/>
    </xf>
    <xf numFmtId="0" fontId="2" fillId="0" borderId="0" xfId="0" applyFont="1"/>
    <xf numFmtId="0" fontId="0" fillId="2" borderId="0" xfId="0" applyFill="1"/>
    <xf numFmtId="3" fontId="0" fillId="0" borderId="1" xfId="0" applyNumberFormat="1" applyBorder="1" applyAlignment="1">
      <alignment horizontal="center"/>
    </xf>
    <xf numFmtId="3" fontId="0" fillId="2" borderId="0" xfId="0" applyNumberFormat="1" applyFill="1" applyAlignment="1">
      <alignment horizontal="center"/>
    </xf>
    <xf numFmtId="0" fontId="3" fillId="0" borderId="0" xfId="0" applyFont="1" applyAlignment="1">
      <alignment horizontal="center"/>
    </xf>
    <xf numFmtId="3" fontId="0" fillId="2" borderId="1" xfId="0" applyNumberFormat="1" applyFill="1" applyBorder="1"/>
    <xf numFmtId="181" fontId="0" fillId="2" borderId="1" xfId="0" applyNumberFormat="1" applyFill="1" applyBorder="1" applyAlignment="1">
      <alignment horizontal="center"/>
    </xf>
    <xf numFmtId="182" fontId="0" fillId="2" borderId="0" xfId="0" applyNumberFormat="1" applyFill="1" applyAlignment="1">
      <alignment horizontal="center"/>
    </xf>
    <xf numFmtId="176" fontId="0" fillId="2" borderId="0" xfId="0" applyNumberFormat="1" applyFill="1" applyAlignment="1">
      <alignment horizontal="right"/>
    </xf>
    <xf numFmtId="0" fontId="0" fillId="0" borderId="0" xfId="0" applyAlignment="1">
      <alignment horizontal="right"/>
    </xf>
    <xf numFmtId="176" fontId="0" fillId="2" borderId="1" xfId="0" applyNumberFormat="1" applyFill="1" applyBorder="1" applyAlignment="1">
      <alignment horizontal="right"/>
    </xf>
    <xf numFmtId="4" fontId="0" fillId="0" borderId="0" xfId="0" applyNumberFormat="1"/>
    <xf numFmtId="0" fontId="0" fillId="2" borderId="0" xfId="0" applyFill="1" applyAlignment="1">
      <alignment horizontal="left"/>
    </xf>
    <xf numFmtId="182" fontId="0" fillId="2" borderId="1" xfId="0" applyNumberFormat="1" applyFill="1" applyBorder="1" applyAlignment="1">
      <alignment horizontal="center"/>
    </xf>
    <xf numFmtId="176" fontId="6" fillId="2" borderId="0" xfId="0" applyNumberFormat="1" applyFont="1" applyFill="1" applyAlignment="1">
      <alignment horizontal="right"/>
    </xf>
    <xf numFmtId="181" fontId="0" fillId="0" borderId="2" xfId="0" applyNumberFormat="1" applyBorder="1"/>
    <xf numFmtId="3" fontId="0" fillId="0" borderId="2" xfId="0" applyNumberFormat="1" applyBorder="1"/>
    <xf numFmtId="3" fontId="0" fillId="4" borderId="0" xfId="0" applyNumberFormat="1" applyFill="1"/>
    <xf numFmtId="176" fontId="0" fillId="4" borderId="3" xfId="0" applyNumberFormat="1" applyFill="1" applyBorder="1"/>
    <xf numFmtId="176" fontId="0" fillId="0" borderId="0" xfId="0" applyNumberFormat="1" applyAlignment="1">
      <alignment horizontal="right"/>
    </xf>
    <xf numFmtId="3" fontId="0" fillId="0" borderId="0" xfId="0" applyNumberFormat="1" applyAlignment="1">
      <alignment horizontal="center"/>
    </xf>
    <xf numFmtId="182" fontId="0" fillId="0" borderId="0" xfId="0" applyNumberFormat="1" applyAlignment="1">
      <alignment horizontal="center"/>
    </xf>
    <xf numFmtId="181" fontId="0" fillId="2" borderId="0" xfId="1" applyNumberFormat="1" applyFont="1" applyFill="1" applyAlignment="1">
      <alignment horizontal="center"/>
    </xf>
    <xf numFmtId="177" fontId="0" fillId="2" borderId="0" xfId="0" applyNumberFormat="1" applyFill="1"/>
    <xf numFmtId="0" fontId="0" fillId="2" borderId="0" xfId="0" applyFill="1" applyAlignment="1">
      <alignment horizontal="right"/>
    </xf>
    <xf numFmtId="0" fontId="3" fillId="0" borderId="0" xfId="0" applyFont="1"/>
    <xf numFmtId="183" fontId="0" fillId="0" borderId="0" xfId="0" applyNumberFormat="1" applyAlignment="1">
      <alignment horizontal="center"/>
    </xf>
    <xf numFmtId="182" fontId="0" fillId="2" borderId="0" xfId="0" applyNumberFormat="1" applyFill="1"/>
    <xf numFmtId="3" fontId="0" fillId="0" borderId="0" xfId="0" applyNumberFormat="1"/>
    <xf numFmtId="182" fontId="6" fillId="2" borderId="0" xfId="0" applyNumberFormat="1" applyFont="1" applyFill="1"/>
    <xf numFmtId="182" fontId="3" fillId="0" borderId="0" xfId="0" applyNumberFormat="1" applyFont="1"/>
    <xf numFmtId="0" fontId="4" fillId="0" borderId="0" xfId="0" applyFont="1"/>
    <xf numFmtId="0" fontId="0" fillId="0" borderId="4" xfId="0" applyBorder="1" applyAlignment="1">
      <alignment horizontal="center"/>
    </xf>
    <xf numFmtId="0" fontId="0" fillId="2" borderId="4" xfId="0" applyFill="1" applyBorder="1" applyAlignment="1">
      <alignment horizontal="center"/>
    </xf>
    <xf numFmtId="0" fontId="0" fillId="5" borderId="0" xfId="0" applyFill="1" applyAlignment="1">
      <alignment horizontal="center"/>
    </xf>
    <xf numFmtId="0" fontId="0" fillId="0" borderId="1" xfId="0" applyBorder="1" applyAlignment="1">
      <alignment horizontal="center"/>
    </xf>
    <xf numFmtId="0" fontId="0" fillId="2" borderId="0" xfId="0" applyFill="1" applyAlignment="1">
      <alignment horizontal="center"/>
    </xf>
    <xf numFmtId="0" fontId="0" fillId="2" borderId="1" xfId="0" applyFill="1" applyBorder="1" applyAlignment="1">
      <alignment horizontal="center"/>
    </xf>
    <xf numFmtId="3" fontId="6" fillId="0" borderId="0" xfId="0" applyNumberFormat="1" applyFont="1"/>
    <xf numFmtId="3" fontId="4" fillId="0" borderId="0" xfId="0" applyNumberFormat="1" applyFont="1"/>
    <xf numFmtId="0" fontId="0" fillId="2" borderId="1" xfId="0" applyFill="1" applyBorder="1" applyAlignment="1">
      <alignment horizontal="right"/>
    </xf>
    <xf numFmtId="0" fontId="0" fillId="0" borderId="1" xfId="0" applyBorder="1"/>
    <xf numFmtId="181" fontId="0" fillId="2" borderId="1" xfId="1" applyNumberFormat="1" applyFont="1" applyFill="1" applyBorder="1" applyAlignment="1">
      <alignment horizontal="center"/>
    </xf>
    <xf numFmtId="182" fontId="0" fillId="2" borderId="1" xfId="0" applyNumberFormat="1" applyFill="1" applyBorder="1"/>
    <xf numFmtId="0" fontId="0" fillId="2" borderId="1" xfId="0" applyFill="1" applyBorder="1" applyAlignment="1">
      <alignment horizontal="left"/>
    </xf>
    <xf numFmtId="3" fontId="0" fillId="2" borderId="1" xfId="0" applyNumberFormat="1" applyFill="1" applyBorder="1" applyAlignment="1">
      <alignment horizontal="center"/>
    </xf>
    <xf numFmtId="0" fontId="0" fillId="6" borderId="0" xfId="0" applyFill="1" applyAlignment="1">
      <alignment horizontal="center"/>
    </xf>
    <xf numFmtId="0" fontId="0" fillId="7" borderId="0" xfId="0" applyFill="1" applyAlignment="1">
      <alignment horizontal="center"/>
    </xf>
    <xf numFmtId="181" fontId="0" fillId="0" borderId="0" xfId="1" applyNumberFormat="1" applyFont="1" applyFill="1" applyAlignment="1">
      <alignment horizontal="center"/>
    </xf>
    <xf numFmtId="182" fontId="6" fillId="2" borderId="0" xfId="0" applyNumberFormat="1" applyFont="1" applyFill="1" applyAlignment="1">
      <alignment horizontal="center"/>
    </xf>
    <xf numFmtId="182" fontId="4" fillId="2" borderId="0" xfId="0" applyNumberFormat="1" applyFont="1" applyFill="1" applyAlignment="1">
      <alignment horizontal="center"/>
    </xf>
    <xf numFmtId="181" fontId="0" fillId="2" borderId="0" xfId="0" applyNumberFormat="1" applyFill="1" applyAlignment="1">
      <alignment horizontal="center"/>
    </xf>
    <xf numFmtId="2" fontId="0" fillId="2" borderId="0" xfId="0" applyNumberFormat="1" applyFill="1" applyAlignment="1">
      <alignment horizontal="center"/>
    </xf>
    <xf numFmtId="2" fontId="0" fillId="0" borderId="0" xfId="0" applyNumberFormat="1"/>
    <xf numFmtId="0" fontId="11" fillId="0" borderId="0" xfId="0" applyFont="1"/>
    <xf numFmtId="182" fontId="3" fillId="2" borderId="0" xfId="0" applyNumberFormat="1" applyFont="1" applyFill="1" applyAlignment="1">
      <alignment horizontal="center"/>
    </xf>
    <xf numFmtId="0" fontId="2" fillId="0" borderId="0" xfId="0" applyFont="1" applyAlignment="1">
      <alignment horizontal="left"/>
    </xf>
    <xf numFmtId="0" fontId="12" fillId="0" borderId="0" xfId="0" applyFont="1"/>
    <xf numFmtId="177" fontId="6" fillId="2" borderId="0" xfId="0" applyNumberFormat="1" applyFont="1" applyFill="1"/>
    <xf numFmtId="176" fontId="0" fillId="2" borderId="0" xfId="0" applyNumberFormat="1" applyFill="1" applyAlignment="1">
      <alignment horizontal="center"/>
    </xf>
    <xf numFmtId="49" fontId="0" fillId="0" borderId="0" xfId="0" applyNumberFormat="1"/>
    <xf numFmtId="176" fontId="6" fillId="0" borderId="0" xfId="0" applyNumberFormat="1" applyFont="1"/>
    <xf numFmtId="176" fontId="4" fillId="2" borderId="0" xfId="0" applyNumberFormat="1" applyFont="1" applyFill="1" applyAlignment="1">
      <alignment horizontal="right"/>
    </xf>
    <xf numFmtId="0" fontId="0" fillId="2" borderId="1" xfId="0" applyFill="1" applyBorder="1"/>
    <xf numFmtId="0" fontId="0" fillId="0" borderId="8" xfId="0" applyBorder="1"/>
    <xf numFmtId="0" fontId="0" fillId="0" borderId="9" xfId="0" applyBorder="1"/>
    <xf numFmtId="181" fontId="0" fillId="0" borderId="11" xfId="1" applyNumberFormat="1" applyFont="1" applyFill="1" applyBorder="1" applyAlignment="1">
      <alignment horizontal="center"/>
    </xf>
    <xf numFmtId="0" fontId="0" fillId="0" borderId="12" xfId="0" applyBorder="1"/>
    <xf numFmtId="0" fontId="0" fillId="0" borderId="13" xfId="0" applyBorder="1"/>
    <xf numFmtId="3" fontId="6" fillId="2" borderId="0" xfId="0" applyNumberFormat="1" applyFont="1" applyFill="1" applyAlignment="1">
      <alignment horizontal="center"/>
    </xf>
    <xf numFmtId="0" fontId="0" fillId="0" borderId="16" xfId="0" applyBorder="1" applyAlignment="1">
      <alignment horizontal="center"/>
    </xf>
    <xf numFmtId="0" fontId="0" fillId="0" borderId="16" xfId="0" applyBorder="1"/>
    <xf numFmtId="0" fontId="0" fillId="0" borderId="11" xfId="0" applyBorder="1"/>
    <xf numFmtId="0" fontId="3" fillId="0" borderId="11" xfId="0" applyFont="1" applyBorder="1" applyAlignment="1">
      <alignment horizontal="center"/>
    </xf>
    <xf numFmtId="0" fontId="0" fillId="0" borderId="10" xfId="0" applyBorder="1"/>
    <xf numFmtId="3" fontId="0" fillId="2" borderId="0" xfId="0" applyNumberFormat="1" applyFill="1"/>
    <xf numFmtId="3" fontId="0" fillId="2" borderId="0" xfId="0" applyNumberFormat="1" applyFill="1" applyAlignment="1">
      <alignment horizontal="right"/>
    </xf>
    <xf numFmtId="182" fontId="0" fillId="0" borderId="0" xfId="1" applyNumberFormat="1" applyFont="1" applyBorder="1" applyAlignment="1">
      <alignment horizontal="center"/>
    </xf>
    <xf numFmtId="181" fontId="0" fillId="0" borderId="0" xfId="1" applyNumberFormat="1" applyFont="1" applyBorder="1" applyAlignment="1">
      <alignment horizontal="center"/>
    </xf>
    <xf numFmtId="181" fontId="0" fillId="3" borderId="0" xfId="1" applyNumberFormat="1" applyFont="1" applyFill="1" applyBorder="1" applyAlignment="1">
      <alignment horizontal="center"/>
    </xf>
    <xf numFmtId="182" fontId="2" fillId="2" borderId="0" xfId="0" applyNumberFormat="1" applyFont="1" applyFill="1" applyAlignment="1">
      <alignment horizontal="center"/>
    </xf>
    <xf numFmtId="180" fontId="0" fillId="0" borderId="0" xfId="0" applyNumberFormat="1" applyAlignment="1">
      <alignment horizontal="center"/>
    </xf>
    <xf numFmtId="179" fontId="0" fillId="2" borderId="0" xfId="0" applyNumberFormat="1" applyFill="1" applyAlignment="1">
      <alignment horizontal="center"/>
    </xf>
    <xf numFmtId="182" fontId="2" fillId="2" borderId="17" xfId="0" applyNumberFormat="1" applyFont="1" applyFill="1" applyBorder="1" applyAlignment="1">
      <alignment horizontal="center"/>
    </xf>
    <xf numFmtId="0" fontId="0" fillId="0" borderId="0" xfId="0" applyAlignment="1">
      <alignment vertical="center"/>
    </xf>
    <xf numFmtId="49" fontId="0" fillId="0" borderId="0" xfId="0" applyNumberFormat="1" applyAlignment="1">
      <alignment vertical="center" wrapText="1"/>
    </xf>
    <xf numFmtId="49" fontId="9" fillId="0" borderId="0" xfId="0" applyNumberFormat="1" applyFont="1" applyAlignment="1">
      <alignment horizontal="center" vertical="center"/>
    </xf>
    <xf numFmtId="49" fontId="10" fillId="0" borderId="0" xfId="0" applyNumberFormat="1" applyFont="1" applyAlignment="1">
      <alignment horizontal="center" vertical="center"/>
    </xf>
    <xf numFmtId="49" fontId="8" fillId="0" borderId="0" xfId="0" applyNumberFormat="1"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wrapText="1"/>
    </xf>
    <xf numFmtId="176" fontId="0" fillId="4" borderId="0" xfId="0" applyNumberFormat="1" applyFill="1"/>
    <xf numFmtId="182" fontId="0" fillId="0" borderId="0" xfId="0" applyNumberFormat="1"/>
    <xf numFmtId="0" fontId="0" fillId="0" borderId="17" xfId="0" applyBorder="1"/>
    <xf numFmtId="0" fontId="0" fillId="0" borderId="11" xfId="0" applyBorder="1" applyAlignment="1">
      <alignment horizontal="right"/>
    </xf>
    <xf numFmtId="49" fontId="2" fillId="0" borderId="0" xfId="0" applyNumberFormat="1" applyFont="1"/>
    <xf numFmtId="0" fontId="6" fillId="0" borderId="0" xfId="0" applyFont="1"/>
    <xf numFmtId="176" fontId="2" fillId="0" borderId="0" xfId="0" applyNumberFormat="1" applyFont="1" applyAlignment="1">
      <alignment horizontal="right"/>
    </xf>
    <xf numFmtId="177" fontId="0" fillId="0" borderId="0" xfId="0" applyNumberFormat="1"/>
    <xf numFmtId="176" fontId="0" fillId="0" borderId="1" xfId="0" applyNumberFormat="1" applyBorder="1" applyAlignment="1">
      <alignment horizontal="right"/>
    </xf>
    <xf numFmtId="176" fontId="0" fillId="0" borderId="0" xfId="0" applyNumberFormat="1"/>
    <xf numFmtId="176" fontId="2" fillId="0" borderId="0" xfId="0" applyNumberFormat="1" applyFont="1"/>
    <xf numFmtId="176" fontId="6" fillId="0" borderId="0" xfId="0" applyNumberFormat="1" applyFont="1" applyAlignment="1">
      <alignment horizontal="right"/>
    </xf>
    <xf numFmtId="177" fontId="0" fillId="0" borderId="11" xfId="0" applyNumberFormat="1" applyBorder="1"/>
    <xf numFmtId="176" fontId="0" fillId="0" borderId="17" xfId="0" applyNumberFormat="1" applyBorder="1"/>
    <xf numFmtId="181" fontId="0" fillId="2" borderId="0" xfId="1" applyNumberFormat="1" applyFont="1" applyFill="1" applyBorder="1" applyAlignment="1">
      <alignment horizontal="center"/>
    </xf>
    <xf numFmtId="0" fontId="0" fillId="0" borderId="0" xfId="0" applyAlignment="1">
      <alignment horizontal="left"/>
    </xf>
    <xf numFmtId="182" fontId="0" fillId="0" borderId="0" xfId="1" applyNumberFormat="1" applyFont="1" applyFill="1" applyBorder="1" applyAlignment="1">
      <alignment horizontal="center"/>
    </xf>
    <xf numFmtId="182" fontId="0" fillId="2" borderId="0" xfId="1" applyNumberFormat="1" applyFont="1" applyFill="1" applyBorder="1" applyAlignment="1">
      <alignment horizontal="center"/>
    </xf>
    <xf numFmtId="181" fontId="0" fillId="0" borderId="0" xfId="1" applyNumberFormat="1" applyFont="1" applyFill="1" applyBorder="1" applyAlignment="1">
      <alignment horizontal="center"/>
    </xf>
    <xf numFmtId="0" fontId="0" fillId="0" borderId="17" xfId="0" applyBorder="1" applyAlignment="1">
      <alignment horizontal="center"/>
    </xf>
    <xf numFmtId="3" fontId="6" fillId="2" borderId="0" xfId="0" applyNumberFormat="1" applyFont="1" applyFill="1"/>
    <xf numFmtId="176" fontId="2" fillId="0" borderId="17" xfId="0" applyNumberFormat="1" applyFont="1" applyBorder="1" applyAlignment="1">
      <alignment horizontal="right"/>
    </xf>
    <xf numFmtId="0" fontId="2"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horizontal="right"/>
    </xf>
    <xf numFmtId="3" fontId="6" fillId="2" borderId="0" xfId="0" applyNumberFormat="1" applyFont="1" applyFill="1" applyAlignment="1">
      <alignment horizontal="right"/>
    </xf>
    <xf numFmtId="181" fontId="6" fillId="2" borderId="0" xfId="0" applyNumberFormat="1" applyFont="1" applyFill="1" applyAlignment="1">
      <alignment horizontal="right"/>
    </xf>
    <xf numFmtId="3" fontId="4" fillId="2" borderId="0" xfId="0" applyNumberFormat="1" applyFont="1" applyFill="1" applyAlignment="1">
      <alignment horizontal="right"/>
    </xf>
    <xf numFmtId="0" fontId="0" fillId="0" borderId="4" xfId="0" applyBorder="1"/>
    <xf numFmtId="0" fontId="0" fillId="2" borderId="4" xfId="0" applyFill="1" applyBorder="1"/>
    <xf numFmtId="182" fontId="2" fillId="2" borderId="0" xfId="0" applyNumberFormat="1" applyFont="1" applyFill="1"/>
    <xf numFmtId="182" fontId="0" fillId="0" borderId="17" xfId="0" applyNumberFormat="1" applyBorder="1" applyAlignment="1">
      <alignment horizontal="center"/>
    </xf>
    <xf numFmtId="182" fontId="2" fillId="0" borderId="17" xfId="0" applyNumberFormat="1" applyFont="1" applyBorder="1" applyAlignment="1">
      <alignment horizontal="center"/>
    </xf>
    <xf numFmtId="181" fontId="0" fillId="0" borderId="17" xfId="1" applyNumberFormat="1" applyFont="1" applyFill="1" applyBorder="1" applyAlignment="1">
      <alignment horizontal="center"/>
    </xf>
    <xf numFmtId="181" fontId="0" fillId="0" borderId="13" xfId="1" applyNumberFormat="1" applyFont="1" applyFill="1" applyBorder="1" applyAlignment="1">
      <alignment horizontal="center"/>
    </xf>
    <xf numFmtId="182" fontId="6" fillId="0" borderId="0" xfId="0" applyNumberFormat="1" applyFont="1"/>
    <xf numFmtId="182" fontId="2" fillId="0" borderId="0" xfId="0" applyNumberFormat="1" applyFont="1" applyAlignment="1">
      <alignment horizontal="center"/>
    </xf>
    <xf numFmtId="182" fontId="3" fillId="0" borderId="0" xfId="0" applyNumberFormat="1" applyFont="1" applyAlignment="1">
      <alignment horizontal="center"/>
    </xf>
    <xf numFmtId="49" fontId="6" fillId="0" borderId="0" xfId="0" applyNumberFormat="1" applyFont="1"/>
    <xf numFmtId="0" fontId="0" fillId="0" borderId="0" xfId="0" applyAlignment="1">
      <alignment horizontal="center" vertical="top"/>
    </xf>
    <xf numFmtId="176" fontId="2" fillId="0" borderId="17" xfId="0" applyNumberFormat="1" applyFont="1" applyBorder="1"/>
    <xf numFmtId="0" fontId="0" fillId="0" borderId="17" xfId="0" applyBorder="1" applyAlignment="1">
      <alignment horizontal="left" vertical="top" wrapText="1"/>
    </xf>
    <xf numFmtId="181" fontId="0" fillId="3" borderId="2" xfId="0" applyNumberFormat="1" applyFill="1" applyBorder="1"/>
    <xf numFmtId="176" fontId="0" fillId="3" borderId="0" xfId="0" applyNumberFormat="1" applyFill="1"/>
    <xf numFmtId="1" fontId="0" fillId="2" borderId="0" xfId="0" applyNumberFormat="1" applyFill="1" applyAlignment="1">
      <alignment horizontal="center"/>
    </xf>
    <xf numFmtId="9" fontId="0" fillId="0" borderId="0" xfId="0" applyNumberFormat="1" applyAlignment="1">
      <alignment horizontal="center"/>
    </xf>
    <xf numFmtId="181" fontId="1" fillId="2" borderId="0" xfId="1" applyNumberFormat="1" applyFont="1" applyFill="1" applyBorder="1" applyAlignment="1">
      <alignment horizontal="center"/>
    </xf>
    <xf numFmtId="181" fontId="6" fillId="2" borderId="0" xfId="1" applyNumberFormat="1" applyFont="1" applyFill="1" applyBorder="1" applyAlignment="1">
      <alignment horizontal="center"/>
    </xf>
    <xf numFmtId="3" fontId="4" fillId="4" borderId="0" xfId="0" applyNumberFormat="1" applyFont="1" applyFill="1"/>
    <xf numFmtId="3" fontId="4" fillId="4" borderId="1" xfId="0" applyNumberFormat="1" applyFont="1" applyFill="1" applyBorder="1"/>
    <xf numFmtId="3" fontId="4" fillId="2" borderId="0" xfId="0" applyNumberFormat="1" applyFont="1" applyFill="1"/>
    <xf numFmtId="176" fontId="0" fillId="0" borderId="11" xfId="0" applyNumberFormat="1" applyBorder="1" applyAlignment="1">
      <alignment horizontal="right"/>
    </xf>
    <xf numFmtId="176" fontId="0" fillId="0" borderId="13" xfId="0" applyNumberFormat="1" applyBorder="1" applyAlignment="1">
      <alignment horizontal="right"/>
    </xf>
    <xf numFmtId="176" fontId="0" fillId="0" borderId="17" xfId="0" applyNumberFormat="1" applyBorder="1" applyAlignment="1">
      <alignment horizontal="right"/>
    </xf>
    <xf numFmtId="184" fontId="0" fillId="0" borderId="0" xfId="1" applyNumberFormat="1" applyFont="1" applyFill="1" applyBorder="1" applyAlignment="1">
      <alignment horizontal="center"/>
    </xf>
    <xf numFmtId="184" fontId="0" fillId="0" borderId="0" xfId="1" applyNumberFormat="1" applyFont="1" applyFill="1" applyAlignment="1">
      <alignment horizontal="center"/>
    </xf>
    <xf numFmtId="9" fontId="0" fillId="0" borderId="0" xfId="0" applyNumberFormat="1"/>
    <xf numFmtId="1" fontId="0" fillId="2" borderId="0" xfId="0" applyNumberFormat="1" applyFill="1" applyAlignment="1">
      <alignment horizontal="right"/>
    </xf>
    <xf numFmtId="0" fontId="2" fillId="0" borderId="19" xfId="0" applyFont="1" applyBorder="1"/>
    <xf numFmtId="182" fontId="0" fillId="2" borderId="4" xfId="0" applyNumberFormat="1" applyFill="1" applyBorder="1"/>
    <xf numFmtId="182" fontId="0" fillId="2" borderId="5" xfId="0" applyNumberFormat="1" applyFill="1" applyBorder="1" applyAlignment="1">
      <alignment horizontal="center"/>
    </xf>
    <xf numFmtId="182" fontId="0" fillId="2" borderId="6" xfId="0" applyNumberFormat="1" applyFill="1" applyBorder="1" applyAlignment="1">
      <alignment horizontal="center"/>
    </xf>
    <xf numFmtId="182" fontId="0" fillId="2" borderId="7" xfId="0" applyNumberFormat="1" applyFill="1" applyBorder="1" applyAlignment="1">
      <alignment horizontal="center"/>
    </xf>
    <xf numFmtId="182" fontId="0" fillId="2" borderId="4" xfId="0" applyNumberFormat="1" applyFill="1" applyBorder="1" applyAlignment="1">
      <alignment horizontal="center"/>
    </xf>
    <xf numFmtId="0" fontId="2" fillId="0" borderId="20" xfId="0" applyFont="1" applyBorder="1"/>
    <xf numFmtId="0" fontId="2" fillId="0" borderId="21" xfId="0" applyFont="1" applyBorder="1"/>
    <xf numFmtId="0" fontId="2" fillId="0" borderId="22" xfId="0" applyFont="1" applyBorder="1"/>
    <xf numFmtId="182" fontId="0" fillId="2" borderId="23" xfId="0" applyNumberFormat="1" applyFill="1" applyBorder="1" applyAlignment="1">
      <alignment horizontal="center"/>
    </xf>
    <xf numFmtId="182" fontId="0" fillId="2" borderId="24" xfId="0" applyNumberFormat="1" applyFill="1" applyBorder="1" applyAlignment="1">
      <alignment horizontal="center"/>
    </xf>
    <xf numFmtId="0" fontId="0" fillId="0" borderId="23" xfId="0" applyBorder="1" applyAlignment="1">
      <alignment horizontal="center" wrapText="1"/>
    </xf>
    <xf numFmtId="182" fontId="0" fillId="0" borderId="1" xfId="0" applyNumberFormat="1" applyBorder="1" applyAlignment="1">
      <alignment horizontal="center"/>
    </xf>
    <xf numFmtId="0" fontId="2" fillId="0" borderId="23" xfId="0" applyFont="1" applyBorder="1" applyAlignment="1">
      <alignment horizontal="left" vertical="center"/>
    </xf>
    <xf numFmtId="49" fontId="0" fillId="0" borderId="1" xfId="0" applyNumberFormat="1" applyBorder="1"/>
    <xf numFmtId="0" fontId="0" fillId="0" borderId="1" xfId="0" applyBorder="1" applyAlignment="1">
      <alignment horizontal="right"/>
    </xf>
    <xf numFmtId="176" fontId="6" fillId="0" borderId="1" xfId="0" applyNumberFormat="1" applyFont="1" applyBorder="1"/>
    <xf numFmtId="0" fontId="2" fillId="0" borderId="1" xfId="0" applyFont="1" applyBorder="1"/>
    <xf numFmtId="0" fontId="2" fillId="0" borderId="1" xfId="0" applyFont="1" applyBorder="1" applyAlignment="1">
      <alignment horizontal="right" vertical="top"/>
    </xf>
    <xf numFmtId="49" fontId="0" fillId="4" borderId="0" xfId="0" applyNumberFormat="1" applyFill="1"/>
    <xf numFmtId="0" fontId="0" fillId="0" borderId="0" xfId="0" applyAlignment="1">
      <alignment wrapText="1"/>
    </xf>
    <xf numFmtId="0" fontId="15" fillId="0" borderId="0" xfId="0" applyFont="1"/>
    <xf numFmtId="0" fontId="14" fillId="0" borderId="0" xfId="0" applyFont="1"/>
    <xf numFmtId="0" fontId="16" fillId="0" borderId="0" xfId="0" applyFont="1"/>
    <xf numFmtId="0" fontId="17" fillId="2" borderId="0" xfId="0" applyFont="1" applyFill="1"/>
    <xf numFmtId="0" fontId="18" fillId="0" borderId="0" xfId="0" applyFont="1"/>
    <xf numFmtId="49" fontId="16" fillId="3" borderId="0" xfId="0" applyNumberFormat="1" applyFont="1" applyFill="1"/>
    <xf numFmtId="49" fontId="17" fillId="0" borderId="0" xfId="0" applyNumberFormat="1" applyFont="1"/>
    <xf numFmtId="49" fontId="17" fillId="3" borderId="0" xfId="0" applyNumberFormat="1" applyFont="1" applyFill="1"/>
    <xf numFmtId="49" fontId="19" fillId="3" borderId="0" xfId="0" applyNumberFormat="1" applyFont="1" applyFill="1"/>
    <xf numFmtId="0" fontId="17" fillId="0" borderId="0" xfId="0" applyFont="1"/>
    <xf numFmtId="0" fontId="20" fillId="0" borderId="0" xfId="0" applyFont="1"/>
    <xf numFmtId="0" fontId="22" fillId="0" borderId="0" xfId="0" applyFont="1"/>
    <xf numFmtId="0" fontId="0" fillId="0" borderId="0" xfId="0" applyAlignment="1">
      <alignment horizontal="left" vertical="top" wrapText="1"/>
    </xf>
    <xf numFmtId="0" fontId="3" fillId="0" borderId="14" xfId="0" applyFont="1" applyBorder="1" applyAlignment="1">
      <alignment horizontal="left" vertical="top" wrapText="1"/>
    </xf>
    <xf numFmtId="0" fontId="0" fillId="0" borderId="18" xfId="0" applyBorder="1" applyAlignment="1">
      <alignment wrapText="1"/>
    </xf>
    <xf numFmtId="0" fontId="0" fillId="0" borderId="15" xfId="0" applyBorder="1" applyAlignment="1">
      <alignment wrapText="1"/>
    </xf>
    <xf numFmtId="49" fontId="0" fillId="4" borderId="0" xfId="0" applyNumberFormat="1" applyFill="1" applyAlignment="1">
      <alignment horizontal="center" vertical="center"/>
    </xf>
  </cellXfs>
  <cellStyles count="2">
    <cellStyle name="常规" xfId="0" builtinId="0"/>
    <cellStyle name="货币" xfId="1" builtinId="4"/>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zh-CN" altLang="en-US" baseline="0"/>
              <a:t>单位配送成本差异</a:t>
            </a:r>
            <a:endParaRPr lang="de-DE"/>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90F-4473-9874-94DD5129BA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90F-4473-9874-94DD5129BA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90F-4473-9874-94DD5129BA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90F-4473-9874-94DD5129BA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90F-4473-9874-94DD5129BAD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90F-4473-9874-94DD5129BAD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90F-4473-9874-94DD5129BAD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90F-4473-9874-94DD5129BAD4}"/>
              </c:ext>
            </c:extLst>
          </c:dPt>
          <c:dLbls>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zh-CN"/>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'图 TN-1'!$B$5:$B$12</c:f>
              <c:strCache>
                <c:ptCount val="8"/>
                <c:pt idx="0">
                  <c:v>客户组合</c:v>
                </c:pt>
                <c:pt idx="1">
                  <c:v>第一段组合</c:v>
                </c:pt>
                <c:pt idx="2">
                  <c:v>后一段路线组合</c:v>
                </c:pt>
                <c:pt idx="3">
                  <c:v>运输方式组合</c:v>
                </c:pt>
                <c:pt idx="4">
                  <c:v>承运商组合</c:v>
                </c:pt>
                <c:pt idx="5">
                  <c:v>第一段费率</c:v>
                </c:pt>
                <c:pt idx="6">
                  <c:v>后一段费率</c:v>
                </c:pt>
                <c:pt idx="7">
                  <c:v>效率</c:v>
                </c:pt>
              </c:strCache>
            </c:strRef>
          </c:cat>
          <c:val>
            <c:numRef>
              <c:f>'图 TN-1'!$C$5:$C$12</c:f>
              <c:numCache>
                <c:formatCode>"$"#,##0.00_);\("$"#,##0.00\)</c:formatCode>
                <c:ptCount val="8"/>
                <c:pt idx="0">
                  <c:v>10.682358988222182</c:v>
                </c:pt>
                <c:pt idx="1">
                  <c:v>0.32724058130281752</c:v>
                </c:pt>
                <c:pt idx="2">
                  <c:v>0.21795076378428563</c:v>
                </c:pt>
                <c:pt idx="3">
                  <c:v>-8.151624701752859E-2</c:v>
                </c:pt>
                <c:pt idx="4">
                  <c:v>0.16956934638047627</c:v>
                </c:pt>
                <c:pt idx="5">
                  <c:v>0.64958158993641568</c:v>
                </c:pt>
                <c:pt idx="6">
                  <c:v>2.1197698744060327</c:v>
                </c:pt>
                <c:pt idx="7">
                  <c:v>0.55832240469414918</c:v>
                </c:pt>
              </c:numCache>
            </c:numRef>
          </c:val>
          <c:extLst>
            <c:ext xmlns:c16="http://schemas.microsoft.com/office/drawing/2014/chart" uri="{C3380CC4-5D6E-409C-BE32-E72D297353CC}">
              <c16:uniqueId val="{00000000-865D-4087-B33F-AA616FAED992}"/>
            </c:ext>
          </c:extLst>
        </c:ser>
        <c:dLbls>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zh-CN"/>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title pos="t" align="ctr" overlay="0">
      <cx:tx>
        <cx:txData>
          <cx:v>单位配送成本与预算</cx:v>
        </cx:txData>
      </cx:tx>
      <cx:txPr>
        <a:bodyPr spcFirstLastPara="1" vertOverflow="ellipsis" horzOverflow="overflow" wrap="square" lIns="0" tIns="0" rIns="0" bIns="0" anchor="ctr" anchorCtr="1"/>
        <a:lstStyle/>
        <a:p>
          <a:pPr algn="ctr" rtl="0">
            <a:defRPr/>
          </a:pPr>
          <a:r>
            <a:rPr lang="zh-CN" altLang="en-US" sz="1400" b="0" i="0" u="none" strike="noStrike" baseline="0">
              <a:solidFill>
                <a:sysClr val="windowText" lastClr="000000">
                  <a:lumMod val="65000"/>
                  <a:lumOff val="35000"/>
                </a:sysClr>
              </a:solidFill>
              <a:latin typeface="Calibri"/>
              <a:ea typeface="等线" panose="02010600030101010101" pitchFamily="2" charset="-122"/>
            </a:rPr>
            <a:t>单位配送成本与预算</a:t>
          </a:r>
        </a:p>
      </cx:txPr>
    </cx:title>
    <cx:plotArea>
      <cx:plotAreaRegion>
        <cx:series layoutId="waterfall" uniqueId="{E9EB2966-ED00-49E1-89B0-32A540434CD7}">
          <cx:dataLabels pos="outEnd">
            <cx:visibility seriesName="0" categoryName="0" value="1"/>
          </cx:dataLabels>
          <cx:dataId val="0"/>
          <cx:layoutPr>
            <cx:subtotals/>
          </cx:layoutPr>
        </cx:series>
      </cx:plotAreaRegion>
      <cx:axis id="0">
        <cx:catScaling gapWidth="0.5"/>
        <cx:tickLabels/>
      </cx:axis>
      <cx:axis id="1" hidden="1">
        <cx:valScaling/>
        <cx:title>
          <cx:tx>
            <cx:txData>
              <cx:v>单位成本</cx:v>
            </cx:txData>
          </cx:tx>
          <cx:txPr>
            <a:bodyPr spcFirstLastPara="1" vertOverflow="ellipsis" horzOverflow="overflow" wrap="square" lIns="0" tIns="0" rIns="0" bIns="0" anchor="ctr" anchorCtr="1"/>
            <a:lstStyle/>
            <a:p>
              <a:pPr algn="ctr" rtl="0">
                <a:defRPr/>
              </a:pPr>
              <a:r>
                <a:rPr lang="zh-CN" altLang="en-US" sz="900" b="0" i="0" u="none" strike="noStrike" baseline="0">
                  <a:solidFill>
                    <a:sysClr val="windowText" lastClr="000000">
                      <a:lumMod val="65000"/>
                      <a:lumOff val="35000"/>
                    </a:sysClr>
                  </a:solidFill>
                  <a:latin typeface="Calibri"/>
                  <a:ea typeface="等线" panose="02010600030101010101" pitchFamily="2" charset="-122"/>
                </a:rPr>
                <a:t>单位成本</a:t>
              </a:r>
            </a:p>
          </cx:txPr>
        </cx:title>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rich>
          <a:bodyPr spcFirstLastPara="1" vertOverflow="ellipsis" horzOverflow="overflow" wrap="square" lIns="0" tIns="0" rIns="0" bIns="0" anchor="ctr" anchorCtr="1"/>
          <a:lstStyle/>
          <a:p>
            <a:pPr algn="ctr" rtl="0">
              <a:defRPr/>
            </a:pPr>
            <a:r>
              <a:rPr lang="zh-CN" altLang="en-US" sz="1400" b="0" i="0" u="none" strike="noStrike" baseline="0">
                <a:solidFill>
                  <a:sysClr val="windowText" lastClr="000000">
                    <a:lumMod val="65000"/>
                    <a:lumOff val="35000"/>
                  </a:sysClr>
                </a:solidFill>
                <a:latin typeface="Calibri"/>
                <a:ea typeface="等线" panose="02010600030101010101" pitchFamily="2" charset="-122"/>
              </a:rPr>
              <a:t>单位配送成本与预算</a:t>
            </a:r>
            <a:endParaRPr lang="en-US" altLang="zh-CN" sz="1400" b="0" i="0" u="none" strike="noStrike" baseline="0">
              <a:solidFill>
                <a:sysClr val="windowText" lastClr="000000">
                  <a:lumMod val="65000"/>
                  <a:lumOff val="35000"/>
                </a:sysClr>
              </a:solidFill>
              <a:latin typeface="Calibri"/>
              <a:ea typeface="等线" panose="02010600030101010101" pitchFamily="2" charset="-122"/>
            </a:endParaRPr>
          </a:p>
        </cx:rich>
      </cx:tx>
    </cx:title>
    <cx:plotArea>
      <cx:plotAreaRegion>
        <cx:series layoutId="waterfall" uniqueId="{F2F5A4A9-7FA2-449A-A25D-CAD56D9965EB}">
          <cx:dataLabels pos="outEnd">
            <cx:visibility seriesName="0" categoryName="0" value="1"/>
          </cx:dataLabels>
          <cx:dataId val="0"/>
          <cx:layoutPr>
            <cx:subtotals/>
          </cx:layoutPr>
        </cx:series>
      </cx:plotAreaRegion>
      <cx:axis id="0">
        <cx:catScaling gapWidth="0.5"/>
        <cx:title/>
        <cx:tickLabels/>
      </cx:axis>
      <cx:axis id="1">
        <cx:valScaling/>
        <cx:title>
          <cx:tx>
            <cx:txData>
              <cx:v>单位成本</cx:v>
            </cx:txData>
          </cx:tx>
          <cx:txPr>
            <a:bodyPr spcFirstLastPara="1" vertOverflow="ellipsis" horzOverflow="overflow" wrap="square" lIns="0" tIns="0" rIns="0" bIns="0" anchor="ctr" anchorCtr="1"/>
            <a:lstStyle/>
            <a:p>
              <a:pPr algn="ctr" rtl="0">
                <a:defRPr/>
              </a:pPr>
              <a:r>
                <a:rPr lang="zh-CN" altLang="en-US" sz="900" b="0" i="0" u="none" strike="noStrike" baseline="0">
                  <a:solidFill>
                    <a:sysClr val="windowText" lastClr="000000">
                      <a:lumMod val="65000"/>
                      <a:lumOff val="35000"/>
                    </a:sysClr>
                  </a:solidFill>
                  <a:latin typeface="Calibri"/>
                  <a:ea typeface="等线" panose="02010600030101010101" pitchFamily="2" charset="-122"/>
                </a:rPr>
                <a:t>单位成本</a:t>
              </a:r>
            </a:p>
          </cx:txPr>
        </cx:title>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91440</xdr:colOff>
      <xdr:row>14</xdr:row>
      <xdr:rowOff>147126</xdr:rowOff>
    </xdr:from>
    <xdr:to>
      <xdr:col>13</xdr:col>
      <xdr:colOff>38100</xdr:colOff>
      <xdr:row>20</xdr:row>
      <xdr:rowOff>32826</xdr:rowOff>
    </xdr:to>
    <xdr:sp macro="" textlink="">
      <xdr:nvSpPr>
        <xdr:cNvPr id="2" name="Rectangle 1">
          <a:extLst>
            <a:ext uri="{FF2B5EF4-FFF2-40B4-BE49-F238E27FC236}">
              <a16:creationId xmlns:a16="http://schemas.microsoft.com/office/drawing/2014/main" id="{00000000-0008-0000-0700-000002000000}"/>
            </a:ext>
          </a:extLst>
        </xdr:cNvPr>
        <xdr:cNvSpPr/>
      </xdr:nvSpPr>
      <xdr:spPr>
        <a:xfrm>
          <a:off x="214532" y="2784818"/>
          <a:ext cx="6089553" cy="975946"/>
        </a:xfrm>
        <a:prstGeom prst="rect">
          <a:avLst/>
        </a:prstGeom>
        <a:solidFill>
          <a:srgbClr val="FFFF00">
            <a:alpha val="10000"/>
          </a:srgbClr>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93782</xdr:colOff>
      <xdr:row>20</xdr:row>
      <xdr:rowOff>146547</xdr:rowOff>
    </xdr:from>
    <xdr:to>
      <xdr:col>13</xdr:col>
      <xdr:colOff>40442</xdr:colOff>
      <xdr:row>26</xdr:row>
      <xdr:rowOff>32246</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216874" y="3874485"/>
          <a:ext cx="6089553" cy="975946"/>
        </a:xfrm>
        <a:prstGeom prst="rect">
          <a:avLst/>
        </a:prstGeom>
        <a:solidFill>
          <a:srgbClr val="FFFF00">
            <a:alpha val="10000"/>
          </a:srgbClr>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1</xdr:col>
      <xdr:colOff>93785</xdr:colOff>
      <xdr:row>29</xdr:row>
      <xdr:rowOff>136398</xdr:rowOff>
    </xdr:from>
    <xdr:to>
      <xdr:col>13</xdr:col>
      <xdr:colOff>40445</xdr:colOff>
      <xdr:row>38</xdr:row>
      <xdr:rowOff>32985</xdr:rowOff>
    </xdr:to>
    <xdr:sp macro="" textlink="">
      <xdr:nvSpPr>
        <xdr:cNvPr id="4" name="Rectangle 3">
          <a:extLst>
            <a:ext uri="{FF2B5EF4-FFF2-40B4-BE49-F238E27FC236}">
              <a16:creationId xmlns:a16="http://schemas.microsoft.com/office/drawing/2014/main" id="{00000000-0008-0000-0700-000004000000}"/>
            </a:ext>
          </a:extLst>
        </xdr:cNvPr>
        <xdr:cNvSpPr/>
      </xdr:nvSpPr>
      <xdr:spPr>
        <a:xfrm>
          <a:off x="215705" y="5531358"/>
          <a:ext cx="6080760" cy="1542507"/>
        </a:xfrm>
        <a:prstGeom prst="rect">
          <a:avLst/>
        </a:prstGeom>
        <a:solidFill>
          <a:srgbClr val="FFFF00">
            <a:alpha val="10000"/>
          </a:srgbClr>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179294</xdr:colOff>
      <xdr:row>0</xdr:row>
      <xdr:rowOff>148477</xdr:rowOff>
    </xdr:from>
    <xdr:to>
      <xdr:col>22</xdr:col>
      <xdr:colOff>215415</xdr:colOff>
      <xdr:row>18</xdr:row>
      <xdr:rowOff>161364</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249700</xdr:colOff>
      <xdr:row>13</xdr:row>
      <xdr:rowOff>3074</xdr:rowOff>
    </xdr:from>
    <xdr:ext cx="452679" cy="213576"/>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7054360" y="2380514"/>
          <a:ext cx="452679" cy="213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0">
          <a:spAutoFit/>
        </a:bodyPr>
        <a:lstStyle/>
        <a:p>
          <a:pPr algn="ctr"/>
          <a:r>
            <a:rPr lang="de-DE" sz="900"/>
            <a:t>$106.00</a:t>
          </a:r>
        </a:p>
      </xdr:txBody>
    </xdr:sp>
    <xdr:clientData/>
  </xdr:oneCellAnchor>
  <xdr:twoCellAnchor>
    <xdr:from>
      <xdr:col>4</xdr:col>
      <xdr:colOff>475128</xdr:colOff>
      <xdr:row>0</xdr:row>
      <xdr:rowOff>170328</xdr:rowOff>
    </xdr:from>
    <xdr:to>
      <xdr:col>14</xdr:col>
      <xdr:colOff>13446</xdr:colOff>
      <xdr:row>18</xdr:row>
      <xdr:rowOff>161364</xdr:rowOff>
    </xdr:to>
    <mc:AlternateContent xmlns:mc="http://schemas.openxmlformats.org/markup-compatibility/2006">
      <mc:Choice xmlns:cx1="http://schemas.microsoft.com/office/drawing/2015/9/8/chartex" Requires="cx1">
        <xdr:graphicFrame macro="">
          <xdr:nvGraphicFramePr>
            <xdr:cNvPr id="6" name="图表 5">
              <a:extLst>
                <a:ext uri="{FF2B5EF4-FFF2-40B4-BE49-F238E27FC236}">
                  <a16:creationId xmlns:a16="http://schemas.microsoft.com/office/drawing/2014/main" id="{FD2F900B-FC3D-D6D0-9297-538D474B456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4419599" y="170328"/>
              <a:ext cx="5634318" cy="3218330"/>
            </a:xfrm>
            <a:prstGeom prst="rect">
              <a:avLst/>
            </a:prstGeom>
            <a:solidFill>
              <a:prstClr val="white"/>
            </a:solidFill>
            <a:ln w="1">
              <a:solidFill>
                <a:prstClr val="green"/>
              </a:solidFill>
            </a:ln>
          </xdr:spPr>
          <xdr:txBody>
            <a:bodyPr vertOverflow="clip" horzOverflow="clip"/>
            <a:lstStyle/>
            <a:p>
              <a:r>
                <a:rPr lang="zh-CN" altLang="en-US" sz="1100"/>
                <a:t>此图表在您的 Excel 版本中不可用。
编辑此形状或将此工作簿转换为其他文件格式将永久破坏图表。</a:t>
              </a:r>
            </a:p>
          </xdr:txBody>
        </xdr:sp>
      </mc:Fallback>
    </mc:AlternateContent>
    <xdr:clientData/>
  </xdr:twoCellAnchor>
  <xdr:twoCellAnchor>
    <xdr:from>
      <xdr:col>4</xdr:col>
      <xdr:colOff>242047</xdr:colOff>
      <xdr:row>22</xdr:row>
      <xdr:rowOff>26894</xdr:rowOff>
    </xdr:from>
    <xdr:to>
      <xdr:col>14</xdr:col>
      <xdr:colOff>58271</xdr:colOff>
      <xdr:row>42</xdr:row>
      <xdr:rowOff>116541</xdr:rowOff>
    </xdr:to>
    <mc:AlternateContent xmlns:mc="http://schemas.openxmlformats.org/markup-compatibility/2006">
      <mc:Choice xmlns:cx1="http://schemas.microsoft.com/office/drawing/2015/9/8/chartex" Requires="cx1">
        <xdr:graphicFrame macro="">
          <xdr:nvGraphicFramePr>
            <xdr:cNvPr id="7" name="图表 6">
              <a:extLst>
                <a:ext uri="{FF2B5EF4-FFF2-40B4-BE49-F238E27FC236}">
                  <a16:creationId xmlns:a16="http://schemas.microsoft.com/office/drawing/2014/main" id="{7ECED39C-911C-642A-8932-06066956AB0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4186518" y="3971365"/>
              <a:ext cx="5912224" cy="3675529"/>
            </a:xfrm>
            <a:prstGeom prst="rect">
              <a:avLst/>
            </a:prstGeom>
            <a:solidFill>
              <a:prstClr val="white"/>
            </a:solidFill>
            <a:ln w="1">
              <a:solidFill>
                <a:prstClr val="green"/>
              </a:solidFill>
            </a:ln>
          </xdr:spPr>
          <xdr:txBody>
            <a:bodyPr vertOverflow="clip" horzOverflow="clip"/>
            <a:lstStyle/>
            <a:p>
              <a:r>
                <a:rPr lang="zh-CN" altLang="en-US" sz="1100"/>
                <a:t>此图表在您的 Excel 版本中不可用。
编辑此形状或将此工作簿转换为其他文件格式将永久破坏图表。</a:t>
              </a:r>
            </a:p>
          </xdr:txBody>
        </xdr:sp>
      </mc:Fallback>
    </mc:AlternateContent>
    <xdr:clientData/>
  </xdr:twoCellAnchor>
  <xdr:oneCellAnchor>
    <xdr:from>
      <xdr:col>5</xdr:col>
      <xdr:colOff>555739</xdr:colOff>
      <xdr:row>5</xdr:row>
      <xdr:rowOff>53788</xdr:rowOff>
    </xdr:from>
    <xdr:ext cx="385555" cy="92398"/>
    <xdr:sp macro="" textlink="">
      <xdr:nvSpPr>
        <xdr:cNvPr id="8" name="文本框 7">
          <a:extLst>
            <a:ext uri="{FF2B5EF4-FFF2-40B4-BE49-F238E27FC236}">
              <a16:creationId xmlns:a16="http://schemas.microsoft.com/office/drawing/2014/main" id="{8D414C4B-295E-0B74-8AC5-CD34BFF84EAC}"/>
            </a:ext>
          </a:extLst>
        </xdr:cNvPr>
        <xdr:cNvSpPr txBox="1"/>
      </xdr:nvSpPr>
      <xdr:spPr>
        <a:xfrm>
          <a:off x="5109810" y="950259"/>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254"/>
  <sheetViews>
    <sheetView showGridLines="0" topLeftCell="A121" workbookViewId="0">
      <selection activeCell="B32" sqref="B32"/>
    </sheetView>
  </sheetViews>
  <sheetFormatPr defaultRowHeight="13.8" x14ac:dyDescent="0.25"/>
  <cols>
    <col min="1" max="1" width="5.21875" customWidth="1"/>
    <col min="2" max="2" width="33.21875" customWidth="1"/>
    <col min="3" max="3" width="40.88671875" customWidth="1"/>
    <col min="4" max="9" width="9.77734375" style="1" customWidth="1"/>
    <col min="10" max="18" width="9.77734375" customWidth="1"/>
    <col min="19" max="19" width="10.44140625" customWidth="1"/>
    <col min="20" max="20" width="9.77734375" customWidth="1"/>
    <col min="21" max="21" width="1.77734375" customWidth="1"/>
    <col min="22" max="23" width="9.109375" customWidth="1"/>
    <col min="24" max="24" width="8.44140625" customWidth="1"/>
    <col min="25" max="25" width="6.77734375" bestFit="1" customWidth="1"/>
    <col min="26" max="26" width="8.33203125" bestFit="1" customWidth="1"/>
    <col min="27" max="27" width="6.77734375" bestFit="1" customWidth="1"/>
  </cols>
  <sheetData>
    <row r="1" spans="2:23" ht="14.4" thickBot="1" x14ac:dyDescent="0.3"/>
    <row r="2" spans="2:23" x14ac:dyDescent="0.25">
      <c r="B2" s="66"/>
      <c r="C2" s="73"/>
      <c r="D2" s="72"/>
      <c r="E2" s="72"/>
      <c r="F2" s="72"/>
      <c r="G2" s="72"/>
      <c r="H2" s="72"/>
      <c r="I2" s="72"/>
      <c r="J2" s="73"/>
      <c r="K2" s="73"/>
      <c r="L2" s="73"/>
      <c r="M2" s="73"/>
      <c r="N2" s="73"/>
      <c r="O2" s="73"/>
      <c r="P2" s="73"/>
      <c r="Q2" s="73"/>
      <c r="R2" s="73"/>
      <c r="S2" s="73"/>
      <c r="T2" s="73"/>
      <c r="U2" s="67"/>
    </row>
    <row r="3" spans="2:23" x14ac:dyDescent="0.25">
      <c r="B3" s="76"/>
      <c r="C3" s="2" t="s">
        <v>63</v>
      </c>
      <c r="U3" s="74"/>
    </row>
    <row r="4" spans="2:23" x14ac:dyDescent="0.25">
      <c r="B4" s="76"/>
      <c r="U4" s="74"/>
    </row>
    <row r="5" spans="2:23" x14ac:dyDescent="0.25">
      <c r="B5" s="76"/>
      <c r="C5" s="2" t="s">
        <v>62</v>
      </c>
      <c r="D5" s="108"/>
      <c r="G5" s="108"/>
      <c r="O5" s="108"/>
      <c r="S5" s="6" t="s">
        <v>81</v>
      </c>
      <c r="T5" s="6" t="s">
        <v>82</v>
      </c>
      <c r="U5" s="75"/>
      <c r="V5" s="6" t="s">
        <v>83</v>
      </c>
      <c r="W5" s="6"/>
    </row>
    <row r="6" spans="2:23" x14ac:dyDescent="0.25">
      <c r="B6" s="76"/>
      <c r="C6" s="122" t="s">
        <v>65</v>
      </c>
      <c r="D6" s="34">
        <v>1</v>
      </c>
      <c r="E6" s="35">
        <f t="shared" ref="E6:R6" si="0">D6+1</f>
        <v>2</v>
      </c>
      <c r="F6" s="35">
        <f t="shared" si="0"/>
        <v>3</v>
      </c>
      <c r="G6" s="35">
        <f t="shared" si="0"/>
        <v>4</v>
      </c>
      <c r="H6" s="35">
        <f t="shared" si="0"/>
        <v>5</v>
      </c>
      <c r="I6" s="35">
        <f t="shared" si="0"/>
        <v>6</v>
      </c>
      <c r="J6" s="35">
        <f t="shared" si="0"/>
        <v>7</v>
      </c>
      <c r="K6" s="35">
        <f t="shared" si="0"/>
        <v>8</v>
      </c>
      <c r="L6" s="35">
        <f t="shared" si="0"/>
        <v>9</v>
      </c>
      <c r="M6" s="35">
        <f t="shared" si="0"/>
        <v>10</v>
      </c>
      <c r="N6" s="35">
        <f t="shared" si="0"/>
        <v>11</v>
      </c>
      <c r="O6" s="35">
        <f t="shared" si="0"/>
        <v>12</v>
      </c>
      <c r="P6" s="35">
        <f t="shared" si="0"/>
        <v>13</v>
      </c>
      <c r="Q6" s="35">
        <f t="shared" si="0"/>
        <v>14</v>
      </c>
      <c r="R6" s="35">
        <f t="shared" si="0"/>
        <v>15</v>
      </c>
      <c r="U6" s="74"/>
    </row>
    <row r="7" spans="2:23" x14ac:dyDescent="0.25">
      <c r="B7" s="76"/>
      <c r="C7" t="s">
        <v>64</v>
      </c>
      <c r="D7" s="48" t="s">
        <v>0</v>
      </c>
      <c r="E7" s="48" t="s">
        <v>0</v>
      </c>
      <c r="F7" s="48" t="s">
        <v>0</v>
      </c>
      <c r="G7" s="48" t="s">
        <v>0</v>
      </c>
      <c r="H7" s="48" t="s">
        <v>0</v>
      </c>
      <c r="I7" s="48" t="s">
        <v>0</v>
      </c>
      <c r="J7" s="48" t="s">
        <v>0</v>
      </c>
      <c r="K7" s="1" t="s">
        <v>1</v>
      </c>
      <c r="L7" s="1" t="s">
        <v>1</v>
      </c>
      <c r="M7" s="48" t="s">
        <v>0</v>
      </c>
      <c r="N7" s="48" t="s">
        <v>0</v>
      </c>
      <c r="O7" s="1" t="s">
        <v>1</v>
      </c>
      <c r="P7" s="1" t="s">
        <v>1</v>
      </c>
      <c r="Q7" s="48" t="s">
        <v>6</v>
      </c>
      <c r="R7" s="48" t="s">
        <v>6</v>
      </c>
      <c r="S7" s="108"/>
      <c r="U7" s="74"/>
    </row>
    <row r="8" spans="2:23" x14ac:dyDescent="0.25">
      <c r="B8" s="76"/>
      <c r="C8" t="s">
        <v>66</v>
      </c>
      <c r="D8" s="36">
        <v>1</v>
      </c>
      <c r="E8" s="36">
        <v>1</v>
      </c>
      <c r="F8" s="36">
        <v>1</v>
      </c>
      <c r="G8" s="1">
        <v>2</v>
      </c>
      <c r="H8" s="1">
        <v>2</v>
      </c>
      <c r="I8" s="1">
        <v>2</v>
      </c>
      <c r="J8" s="1">
        <v>2</v>
      </c>
      <c r="K8" s="1">
        <v>2</v>
      </c>
      <c r="L8" s="1">
        <v>2</v>
      </c>
      <c r="M8" s="36">
        <v>3</v>
      </c>
      <c r="N8" s="36">
        <v>3</v>
      </c>
      <c r="O8" s="36">
        <v>3</v>
      </c>
      <c r="P8" s="36">
        <v>3</v>
      </c>
      <c r="Q8" s="36">
        <v>3</v>
      </c>
      <c r="R8" s="1">
        <v>4</v>
      </c>
      <c r="U8" s="74"/>
    </row>
    <row r="9" spans="2:23" x14ac:dyDescent="0.25">
      <c r="B9" s="76"/>
      <c r="C9" t="s">
        <v>67</v>
      </c>
      <c r="D9" s="1" t="s">
        <v>37</v>
      </c>
      <c r="E9" s="1" t="s">
        <v>37</v>
      </c>
      <c r="F9" s="1" t="s">
        <v>37</v>
      </c>
      <c r="G9" s="49" t="s">
        <v>38</v>
      </c>
      <c r="H9" s="49" t="s">
        <v>38</v>
      </c>
      <c r="I9" s="1" t="s">
        <v>80</v>
      </c>
      <c r="J9" s="1" t="s">
        <v>37</v>
      </c>
      <c r="K9" s="1" t="s">
        <v>37</v>
      </c>
      <c r="L9" s="1" t="s">
        <v>37</v>
      </c>
      <c r="M9" s="1" t="s">
        <v>37</v>
      </c>
      <c r="N9" s="1" t="s">
        <v>38</v>
      </c>
      <c r="O9" s="1" t="s">
        <v>38</v>
      </c>
      <c r="P9" s="1" t="s">
        <v>38</v>
      </c>
      <c r="Q9" s="1" t="s">
        <v>38</v>
      </c>
      <c r="R9" s="1" t="s">
        <v>38</v>
      </c>
      <c r="U9" s="74"/>
    </row>
    <row r="10" spans="2:23" x14ac:dyDescent="0.25">
      <c r="B10" s="76"/>
      <c r="C10" s="43" t="s">
        <v>69</v>
      </c>
      <c r="D10" s="37" t="s">
        <v>16</v>
      </c>
      <c r="E10" s="37" t="s">
        <v>17</v>
      </c>
      <c r="F10" s="37" t="s">
        <v>18</v>
      </c>
      <c r="G10" s="37" t="s">
        <v>20</v>
      </c>
      <c r="H10" s="37" t="s">
        <v>21</v>
      </c>
      <c r="I10" s="37" t="s">
        <v>60</v>
      </c>
      <c r="J10" s="37" t="s">
        <v>17</v>
      </c>
      <c r="K10" s="37" t="s">
        <v>18</v>
      </c>
      <c r="L10" s="37" t="s">
        <v>19</v>
      </c>
      <c r="M10" s="37" t="s">
        <v>16</v>
      </c>
      <c r="N10" s="37" t="s">
        <v>21</v>
      </c>
      <c r="O10" s="37" t="s">
        <v>21</v>
      </c>
      <c r="P10" s="37" t="s">
        <v>22</v>
      </c>
      <c r="Q10" s="37" t="s">
        <v>22</v>
      </c>
      <c r="R10" s="37" t="s">
        <v>22</v>
      </c>
      <c r="U10" s="74"/>
    </row>
    <row r="11" spans="2:23" x14ac:dyDescent="0.25">
      <c r="B11" s="76"/>
      <c r="C11" t="s">
        <v>68</v>
      </c>
      <c r="D11" s="1">
        <v>25</v>
      </c>
      <c r="E11" s="138">
        <f>E68/1000000000</f>
        <v>1.0999999999999999E-8</v>
      </c>
      <c r="F11" s="138">
        <f>F68/1000000000</f>
        <v>6E-9</v>
      </c>
      <c r="G11" s="1">
        <v>5</v>
      </c>
      <c r="H11" s="1">
        <v>10</v>
      </c>
      <c r="I11" s="1">
        <v>1</v>
      </c>
      <c r="J11" s="1">
        <v>70</v>
      </c>
      <c r="K11" s="1">
        <v>30</v>
      </c>
      <c r="L11" s="1">
        <v>4</v>
      </c>
      <c r="M11" s="1">
        <v>75</v>
      </c>
      <c r="N11" s="1">
        <v>8</v>
      </c>
      <c r="O11" s="1">
        <v>8</v>
      </c>
      <c r="P11" s="1">
        <v>5</v>
      </c>
      <c r="Q11" s="1">
        <v>20</v>
      </c>
      <c r="R11" s="1">
        <v>10</v>
      </c>
      <c r="S11" s="77">
        <f>SUM(D11:R11)</f>
        <v>271.00000001699999</v>
      </c>
      <c r="U11" s="74"/>
    </row>
    <row r="12" spans="2:23" x14ac:dyDescent="0.25">
      <c r="B12" s="76"/>
      <c r="C12" s="177" t="s">
        <v>278</v>
      </c>
      <c r="J12" s="1"/>
      <c r="K12" s="1"/>
      <c r="L12" s="1"/>
      <c r="M12" s="1"/>
      <c r="N12" s="1"/>
      <c r="O12" s="1"/>
      <c r="P12" s="1"/>
      <c r="Q12" s="1"/>
      <c r="R12" s="1"/>
      <c r="U12" s="74"/>
    </row>
    <row r="13" spans="2:23" x14ac:dyDescent="0.25">
      <c r="B13" s="76"/>
      <c r="C13" s="182" t="s">
        <v>70</v>
      </c>
      <c r="D13" s="22">
        <v>500</v>
      </c>
      <c r="E13" s="138">
        <f>E70/1000000000</f>
        <v>2.1E-7</v>
      </c>
      <c r="F13" s="138">
        <f>F70/1000000000</f>
        <v>1.1000000000000001E-7</v>
      </c>
      <c r="G13" s="22">
        <f>360</f>
        <v>360</v>
      </c>
      <c r="H13" s="22">
        <v>200</v>
      </c>
      <c r="I13" s="22"/>
      <c r="J13" s="22">
        <v>1000</v>
      </c>
      <c r="K13" s="22">
        <v>600</v>
      </c>
      <c r="L13" s="22">
        <v>100</v>
      </c>
      <c r="M13" s="22">
        <v>1200</v>
      </c>
      <c r="N13" s="22">
        <f>650</f>
        <v>650</v>
      </c>
      <c r="O13" s="22">
        <f>650</f>
        <v>650</v>
      </c>
      <c r="P13" s="22">
        <v>300</v>
      </c>
      <c r="Q13" s="22"/>
      <c r="R13" s="22"/>
      <c r="S13" s="77">
        <f>SUM(D13:R13)</f>
        <v>5560.0000003200003</v>
      </c>
      <c r="U13" s="74"/>
    </row>
    <row r="14" spans="2:23" x14ac:dyDescent="0.25">
      <c r="B14" s="76"/>
      <c r="C14" s="182" t="s">
        <v>71</v>
      </c>
      <c r="D14" s="4"/>
      <c r="E14" s="4"/>
      <c r="F14" s="4"/>
      <c r="G14" s="4"/>
      <c r="H14" s="4">
        <v>600</v>
      </c>
      <c r="I14" s="4">
        <v>200</v>
      </c>
      <c r="J14" s="4">
        <v>400</v>
      </c>
      <c r="K14" s="4"/>
      <c r="L14" s="4"/>
      <c r="M14" s="4">
        <v>400</v>
      </c>
      <c r="N14" s="4"/>
      <c r="O14" s="4"/>
      <c r="P14" s="4">
        <v>100</v>
      </c>
      <c r="Q14" s="4">
        <v>1500</v>
      </c>
      <c r="R14" s="4">
        <f>800</f>
        <v>800</v>
      </c>
      <c r="S14" s="7">
        <f>SUM(D14:R14)</f>
        <v>4000</v>
      </c>
      <c r="U14" s="74"/>
    </row>
    <row r="15" spans="2:23" x14ac:dyDescent="0.25">
      <c r="B15" s="76"/>
      <c r="C15" s="182" t="s">
        <v>72</v>
      </c>
      <c r="D15" s="5">
        <f t="shared" ref="D15:S15" si="1">SUM(D13:D14)</f>
        <v>500</v>
      </c>
      <c r="E15" s="5">
        <f t="shared" si="1"/>
        <v>2.1E-7</v>
      </c>
      <c r="F15" s="5">
        <f t="shared" si="1"/>
        <v>1.1000000000000001E-7</v>
      </c>
      <c r="G15" s="5">
        <f t="shared" si="1"/>
        <v>360</v>
      </c>
      <c r="H15" s="5">
        <f t="shared" si="1"/>
        <v>800</v>
      </c>
      <c r="I15" s="5">
        <f t="shared" si="1"/>
        <v>200</v>
      </c>
      <c r="J15" s="5">
        <f t="shared" si="1"/>
        <v>1400</v>
      </c>
      <c r="K15" s="5">
        <f t="shared" si="1"/>
        <v>600</v>
      </c>
      <c r="L15" s="5">
        <f t="shared" si="1"/>
        <v>100</v>
      </c>
      <c r="M15" s="5">
        <f t="shared" si="1"/>
        <v>1600</v>
      </c>
      <c r="N15" s="5">
        <f t="shared" si="1"/>
        <v>650</v>
      </c>
      <c r="O15" s="5">
        <f t="shared" si="1"/>
        <v>650</v>
      </c>
      <c r="P15" s="5">
        <f t="shared" si="1"/>
        <v>400</v>
      </c>
      <c r="Q15" s="5">
        <f t="shared" si="1"/>
        <v>1500</v>
      </c>
      <c r="R15" s="5">
        <f t="shared" si="1"/>
        <v>800</v>
      </c>
      <c r="S15" s="78">
        <f t="shared" si="1"/>
        <v>9560.0000003200003</v>
      </c>
      <c r="U15" s="74"/>
      <c r="V15" s="113">
        <f>SUM(D15:R15)</f>
        <v>9560.0000003200003</v>
      </c>
    </row>
    <row r="16" spans="2:23" x14ac:dyDescent="0.25">
      <c r="B16" s="76"/>
      <c r="C16" t="s">
        <v>73</v>
      </c>
      <c r="D16" s="109">
        <v>1660</v>
      </c>
      <c r="E16" s="110">
        <f>E73</f>
        <v>1700</v>
      </c>
      <c r="F16" s="110">
        <f>F73</f>
        <v>1650</v>
      </c>
      <c r="G16" s="109">
        <f>4378</f>
        <v>4378</v>
      </c>
      <c r="H16" s="79">
        <v>4000</v>
      </c>
      <c r="I16" s="109">
        <f>8240</f>
        <v>8240</v>
      </c>
      <c r="J16" s="79">
        <v>1442</v>
      </c>
      <c r="K16" s="79">
        <v>1300</v>
      </c>
      <c r="L16" s="79">
        <v>1875</v>
      </c>
      <c r="M16" s="79">
        <v>1545</v>
      </c>
      <c r="N16" s="79">
        <v>4900</v>
      </c>
      <c r="O16" s="79">
        <v>4900</v>
      </c>
      <c r="P16" s="79">
        <v>4944</v>
      </c>
      <c r="Q16" s="79">
        <v>7300</v>
      </c>
      <c r="R16" s="79">
        <v>7725</v>
      </c>
      <c r="U16" s="74"/>
    </row>
    <row r="17" spans="2:22" x14ac:dyDescent="0.25">
      <c r="B17" s="76"/>
      <c r="C17" t="s">
        <v>74</v>
      </c>
      <c r="E17" s="109"/>
      <c r="F17" s="109"/>
      <c r="G17"/>
      <c r="H17"/>
      <c r="I17"/>
      <c r="U17" s="74"/>
    </row>
    <row r="18" spans="2:22" x14ac:dyDescent="0.25">
      <c r="B18" s="76"/>
      <c r="C18" t="s">
        <v>70</v>
      </c>
      <c r="D18" s="111">
        <v>16</v>
      </c>
      <c r="E18" s="107">
        <f>E75</f>
        <v>15.5</v>
      </c>
      <c r="F18" s="107">
        <f>F75</f>
        <v>19</v>
      </c>
      <c r="G18" s="80">
        <f>21</f>
        <v>21</v>
      </c>
      <c r="H18" s="80">
        <f>19</f>
        <v>19</v>
      </c>
      <c r="I18" s="80"/>
      <c r="J18" s="80">
        <f>20</f>
        <v>20</v>
      </c>
      <c r="K18" s="111">
        <f>19</f>
        <v>19</v>
      </c>
      <c r="L18" s="111">
        <f>20</f>
        <v>20</v>
      </c>
      <c r="M18" s="111">
        <f>33</f>
        <v>33</v>
      </c>
      <c r="N18" s="80">
        <f>36</f>
        <v>36</v>
      </c>
      <c r="O18" s="80">
        <f>32</f>
        <v>32</v>
      </c>
      <c r="P18" s="80">
        <f>30</f>
        <v>30</v>
      </c>
      <c r="Q18" s="80"/>
      <c r="R18" s="80"/>
      <c r="U18" s="74"/>
    </row>
    <row r="19" spans="2:22" x14ac:dyDescent="0.25">
      <c r="B19" s="76"/>
      <c r="C19" t="s">
        <v>71</v>
      </c>
      <c r="D19" s="80"/>
      <c r="E19" s="80"/>
      <c r="F19" s="80"/>
      <c r="G19" s="80"/>
      <c r="H19" s="80">
        <f>20</f>
        <v>20</v>
      </c>
      <c r="I19" s="80">
        <f>20</f>
        <v>20</v>
      </c>
      <c r="J19" s="80">
        <f>20</f>
        <v>20</v>
      </c>
      <c r="K19" s="80"/>
      <c r="L19" s="80"/>
      <c r="M19" s="111">
        <f>46</f>
        <v>46</v>
      </c>
      <c r="N19" s="80"/>
      <c r="O19" s="80"/>
      <c r="P19" s="80">
        <f>37</f>
        <v>37</v>
      </c>
      <c r="Q19" s="80">
        <f>52</f>
        <v>52</v>
      </c>
      <c r="R19" s="80">
        <f>53</f>
        <v>53</v>
      </c>
      <c r="S19" s="6"/>
      <c r="U19" s="74"/>
    </row>
    <row r="20" spans="2:22" x14ac:dyDescent="0.25">
      <c r="B20" s="76"/>
      <c r="C20" t="s">
        <v>75</v>
      </c>
      <c r="D20" s="8">
        <f t="shared" ref="D20:R20" si="2">D23/D15</f>
        <v>83</v>
      </c>
      <c r="E20" s="8">
        <f t="shared" si="2"/>
        <v>89.047619047619037</v>
      </c>
      <c r="F20" s="8">
        <f t="shared" si="2"/>
        <v>90</v>
      </c>
      <c r="G20" s="8">
        <f t="shared" si="2"/>
        <v>60.805555555555557</v>
      </c>
      <c r="H20" s="8">
        <f t="shared" si="2"/>
        <v>50</v>
      </c>
      <c r="I20" s="8">
        <f t="shared" si="2"/>
        <v>41.2</v>
      </c>
      <c r="J20" s="8">
        <f t="shared" si="2"/>
        <v>72.099999999999994</v>
      </c>
      <c r="K20" s="8">
        <f t="shared" si="2"/>
        <v>65</v>
      </c>
      <c r="L20" s="8">
        <f t="shared" si="2"/>
        <v>75</v>
      </c>
      <c r="M20" s="8">
        <f t="shared" si="2"/>
        <v>72.421875</v>
      </c>
      <c r="N20" s="8">
        <f t="shared" si="2"/>
        <v>60.307692307692307</v>
      </c>
      <c r="O20" s="8">
        <f t="shared" si="2"/>
        <v>60.307692307692307</v>
      </c>
      <c r="P20" s="8">
        <f t="shared" si="2"/>
        <v>61.8</v>
      </c>
      <c r="Q20" s="8">
        <f t="shared" si="2"/>
        <v>97.333333333333329</v>
      </c>
      <c r="R20" s="8">
        <f t="shared" si="2"/>
        <v>96.5625</v>
      </c>
      <c r="U20" s="74"/>
    </row>
    <row r="21" spans="2:22" x14ac:dyDescent="0.25">
      <c r="B21" s="76"/>
      <c r="C21" t="s">
        <v>76</v>
      </c>
      <c r="D21" s="53">
        <f t="shared" ref="D21:R21" si="3">D24/D15</f>
        <v>99</v>
      </c>
      <c r="E21" s="53">
        <f t="shared" si="3"/>
        <v>104.54761904761902</v>
      </c>
      <c r="F21" s="53">
        <f t="shared" si="3"/>
        <v>109</v>
      </c>
      <c r="G21" s="53">
        <f t="shared" si="3"/>
        <v>81.805555555555557</v>
      </c>
      <c r="H21" s="53">
        <f t="shared" si="3"/>
        <v>69.75</v>
      </c>
      <c r="I21" s="53">
        <f t="shared" si="3"/>
        <v>61.2</v>
      </c>
      <c r="J21" s="53">
        <f t="shared" si="3"/>
        <v>92.1</v>
      </c>
      <c r="K21" s="53">
        <f t="shared" si="3"/>
        <v>84</v>
      </c>
      <c r="L21" s="53">
        <f t="shared" si="3"/>
        <v>95</v>
      </c>
      <c r="M21" s="53">
        <f t="shared" si="3"/>
        <v>108.671875</v>
      </c>
      <c r="N21" s="53">
        <f t="shared" si="3"/>
        <v>96.307692307692307</v>
      </c>
      <c r="O21" s="53">
        <f t="shared" si="3"/>
        <v>92.307692307692307</v>
      </c>
      <c r="P21" s="53">
        <f t="shared" si="3"/>
        <v>93.55</v>
      </c>
      <c r="Q21" s="53">
        <f t="shared" si="3"/>
        <v>149.33333333333334</v>
      </c>
      <c r="R21" s="53">
        <f t="shared" si="3"/>
        <v>149.5625</v>
      </c>
      <c r="U21" s="74"/>
    </row>
    <row r="22" spans="2:22" x14ac:dyDescent="0.25">
      <c r="B22" s="76"/>
      <c r="C22" t="s">
        <v>77</v>
      </c>
      <c r="D22" s="9">
        <f t="shared" ref="D22:R22" si="4">D13*D18+D14*D19</f>
        <v>8000</v>
      </c>
      <c r="E22" s="9">
        <f t="shared" si="4"/>
        <v>3.2550000000000002E-6</v>
      </c>
      <c r="F22" s="9">
        <f t="shared" si="4"/>
        <v>2.0900000000000003E-6</v>
      </c>
      <c r="G22" s="9">
        <f t="shared" si="4"/>
        <v>7560</v>
      </c>
      <c r="H22" s="9">
        <f t="shared" si="4"/>
        <v>15800</v>
      </c>
      <c r="I22" s="9">
        <f t="shared" si="4"/>
        <v>4000</v>
      </c>
      <c r="J22" s="9">
        <f t="shared" si="4"/>
        <v>28000</v>
      </c>
      <c r="K22" s="9">
        <f t="shared" si="4"/>
        <v>11400</v>
      </c>
      <c r="L22" s="9">
        <f t="shared" si="4"/>
        <v>2000</v>
      </c>
      <c r="M22" s="9">
        <f t="shared" si="4"/>
        <v>58000</v>
      </c>
      <c r="N22" s="9">
        <f t="shared" si="4"/>
        <v>23400</v>
      </c>
      <c r="O22" s="9">
        <f t="shared" si="4"/>
        <v>20800</v>
      </c>
      <c r="P22" s="9">
        <f t="shared" si="4"/>
        <v>12700</v>
      </c>
      <c r="Q22" s="9">
        <f t="shared" si="4"/>
        <v>78000</v>
      </c>
      <c r="R22" s="9">
        <f t="shared" si="4"/>
        <v>42400</v>
      </c>
      <c r="S22" s="9">
        <f>SUM(D22:R22)</f>
        <v>312060.00000534498</v>
      </c>
      <c r="T22" s="107">
        <f>S22/S$15</f>
        <v>32.642259413692408</v>
      </c>
      <c r="U22" s="68"/>
    </row>
    <row r="23" spans="2:22" x14ac:dyDescent="0.25">
      <c r="B23" s="76"/>
      <c r="C23" t="s">
        <v>78</v>
      </c>
      <c r="D23" s="15">
        <f t="shared" ref="D23:R23" si="5">D11*D16</f>
        <v>41500</v>
      </c>
      <c r="E23" s="15">
        <f t="shared" si="5"/>
        <v>1.8699999999999997E-5</v>
      </c>
      <c r="F23" s="15">
        <f t="shared" si="5"/>
        <v>9.9000000000000001E-6</v>
      </c>
      <c r="G23" s="15">
        <f t="shared" si="5"/>
        <v>21890</v>
      </c>
      <c r="H23" s="15">
        <f t="shared" si="5"/>
        <v>40000</v>
      </c>
      <c r="I23" s="15">
        <f t="shared" si="5"/>
        <v>8240</v>
      </c>
      <c r="J23" s="15">
        <f t="shared" si="5"/>
        <v>100940</v>
      </c>
      <c r="K23" s="15">
        <f t="shared" si="5"/>
        <v>39000</v>
      </c>
      <c r="L23" s="15">
        <f t="shared" si="5"/>
        <v>7500</v>
      </c>
      <c r="M23" s="15">
        <f t="shared" si="5"/>
        <v>115875</v>
      </c>
      <c r="N23" s="15">
        <f t="shared" si="5"/>
        <v>39200</v>
      </c>
      <c r="O23" s="15">
        <f t="shared" si="5"/>
        <v>39200</v>
      </c>
      <c r="P23" s="15">
        <f t="shared" si="5"/>
        <v>24720</v>
      </c>
      <c r="Q23" s="15">
        <f t="shared" si="5"/>
        <v>146000</v>
      </c>
      <c r="R23" s="15">
        <f t="shared" si="5"/>
        <v>77250</v>
      </c>
      <c r="S23" s="9">
        <f>SUM(D23:R23)</f>
        <v>701315.00002859998</v>
      </c>
      <c r="T23" s="107">
        <f>S23/S$15</f>
        <v>73.35930962396705</v>
      </c>
      <c r="U23" s="68"/>
    </row>
    <row r="24" spans="2:22" x14ac:dyDescent="0.25">
      <c r="B24" s="76"/>
      <c r="C24" t="s">
        <v>79</v>
      </c>
      <c r="D24" s="9">
        <f t="shared" ref="D24:R24" si="6">SUM(D22:D23)</f>
        <v>49500</v>
      </c>
      <c r="E24" s="9">
        <f t="shared" si="6"/>
        <v>2.1954999999999996E-5</v>
      </c>
      <c r="F24" s="9">
        <f t="shared" si="6"/>
        <v>1.199E-5</v>
      </c>
      <c r="G24" s="9">
        <f t="shared" si="6"/>
        <v>29450</v>
      </c>
      <c r="H24" s="9">
        <f t="shared" si="6"/>
        <v>55800</v>
      </c>
      <c r="I24" s="9">
        <f t="shared" si="6"/>
        <v>12240</v>
      </c>
      <c r="J24" s="9">
        <f t="shared" si="6"/>
        <v>128940</v>
      </c>
      <c r="K24" s="9">
        <f t="shared" si="6"/>
        <v>50400</v>
      </c>
      <c r="L24" s="9">
        <f t="shared" si="6"/>
        <v>9500</v>
      </c>
      <c r="M24" s="9">
        <f t="shared" si="6"/>
        <v>173875</v>
      </c>
      <c r="N24" s="9">
        <f t="shared" si="6"/>
        <v>62600</v>
      </c>
      <c r="O24" s="9">
        <f t="shared" si="6"/>
        <v>60000</v>
      </c>
      <c r="P24" s="9">
        <f t="shared" si="6"/>
        <v>37420</v>
      </c>
      <c r="Q24" s="9">
        <f t="shared" si="6"/>
        <v>224000</v>
      </c>
      <c r="R24" s="9">
        <f t="shared" si="6"/>
        <v>119650</v>
      </c>
      <c r="S24" s="82">
        <f>SUM(D24:R24)</f>
        <v>1013375.000033945</v>
      </c>
      <c r="T24" s="107">
        <f>S24/S$15</f>
        <v>106.00156903765946</v>
      </c>
      <c r="U24" s="68"/>
      <c r="V24" s="31">
        <f>S22+S23</f>
        <v>1013375.000033945</v>
      </c>
    </row>
    <row r="25" spans="2:22" ht="14.4" thickBot="1" x14ac:dyDescent="0.3">
      <c r="B25" s="69"/>
      <c r="C25" s="95"/>
      <c r="D25" s="125"/>
      <c r="E25" s="125"/>
      <c r="F25" s="125"/>
      <c r="G25" s="125"/>
      <c r="H25" s="125"/>
      <c r="I25" s="125"/>
      <c r="J25" s="125"/>
      <c r="K25" s="125"/>
      <c r="L25" s="125"/>
      <c r="M25" s="125"/>
      <c r="N25" s="125"/>
      <c r="O25" s="125"/>
      <c r="P25" s="125"/>
      <c r="Q25" s="125"/>
      <c r="R25" s="125"/>
      <c r="S25" s="126"/>
      <c r="T25" s="127"/>
      <c r="U25" s="128"/>
      <c r="V25" s="129"/>
    </row>
    <row r="26" spans="2:22" x14ac:dyDescent="0.25">
      <c r="D26" s="28"/>
      <c r="E26" s="28"/>
      <c r="F26" s="28"/>
      <c r="G26" s="28"/>
      <c r="H26" s="28"/>
      <c r="I26" s="28"/>
      <c r="J26" s="28"/>
      <c r="K26" s="28"/>
      <c r="L26" s="28"/>
      <c r="M26" s="28"/>
      <c r="N26" s="28"/>
      <c r="O26" s="28"/>
      <c r="P26" s="28"/>
      <c r="Q26" s="28"/>
      <c r="R26" s="28"/>
    </row>
    <row r="27" spans="2:22" x14ac:dyDescent="0.25">
      <c r="C27" t="s">
        <v>23</v>
      </c>
      <c r="D27" s="5">
        <f t="shared" ref="D27:J27" si="7">D$15</f>
        <v>500</v>
      </c>
      <c r="E27" s="5">
        <f t="shared" si="7"/>
        <v>2.1E-7</v>
      </c>
      <c r="F27" s="5">
        <f t="shared" si="7"/>
        <v>1.1000000000000001E-7</v>
      </c>
      <c r="G27" s="5">
        <f t="shared" si="7"/>
        <v>360</v>
      </c>
      <c r="H27" s="5">
        <f t="shared" si="7"/>
        <v>800</v>
      </c>
      <c r="I27" s="5">
        <f t="shared" si="7"/>
        <v>200</v>
      </c>
      <c r="J27" s="5">
        <f t="shared" si="7"/>
        <v>1400</v>
      </c>
      <c r="M27" s="5">
        <f>M$15</f>
        <v>1600</v>
      </c>
      <c r="N27" s="5">
        <f>N$15</f>
        <v>650</v>
      </c>
      <c r="P27" s="22"/>
      <c r="Q27" s="22"/>
      <c r="R27" s="22"/>
      <c r="S27" s="5">
        <f t="shared" ref="S27:S32" si="8">SUM(D27:R27)</f>
        <v>5510.0000003200003</v>
      </c>
    </row>
    <row r="28" spans="2:22" x14ac:dyDescent="0.25">
      <c r="C28" s="11" t="s">
        <v>79</v>
      </c>
      <c r="D28" s="9">
        <f t="shared" ref="D28:J28" si="9">D$24</f>
        <v>49500</v>
      </c>
      <c r="E28" s="9">
        <f t="shared" si="9"/>
        <v>2.1954999999999996E-5</v>
      </c>
      <c r="F28" s="9">
        <f t="shared" si="9"/>
        <v>1.199E-5</v>
      </c>
      <c r="G28" s="9">
        <f t="shared" si="9"/>
        <v>29450</v>
      </c>
      <c r="H28" s="9">
        <f t="shared" si="9"/>
        <v>55800</v>
      </c>
      <c r="I28" s="9">
        <f t="shared" si="9"/>
        <v>12240</v>
      </c>
      <c r="J28" s="9">
        <f t="shared" si="9"/>
        <v>128940</v>
      </c>
      <c r="M28" s="9">
        <f>M$24</f>
        <v>173875</v>
      </c>
      <c r="N28" s="9">
        <f>N$24</f>
        <v>62600</v>
      </c>
      <c r="P28" s="23"/>
      <c r="Q28" s="23"/>
      <c r="R28" s="23"/>
      <c r="S28" s="9">
        <f t="shared" si="8"/>
        <v>512405.00003394496</v>
      </c>
      <c r="T28" s="107">
        <f>S28/S27</f>
        <v>92.995462795678108</v>
      </c>
      <c r="U28" s="111"/>
    </row>
    <row r="29" spans="2:22" x14ac:dyDescent="0.25">
      <c r="C29" t="s">
        <v>24</v>
      </c>
      <c r="K29" s="5">
        <f>K$15</f>
        <v>600</v>
      </c>
      <c r="L29" s="5">
        <f>L$15</f>
        <v>100</v>
      </c>
      <c r="O29" s="5">
        <f>O$15</f>
        <v>650</v>
      </c>
      <c r="P29" s="5">
        <f>P$15</f>
        <v>400</v>
      </c>
      <c r="S29" s="5">
        <f t="shared" si="8"/>
        <v>1750</v>
      </c>
    </row>
    <row r="30" spans="2:22" x14ac:dyDescent="0.25">
      <c r="C30" s="11" t="s">
        <v>79</v>
      </c>
      <c r="K30" s="9">
        <f>K$24</f>
        <v>50400</v>
      </c>
      <c r="L30" s="9">
        <f>L$24</f>
        <v>9500</v>
      </c>
      <c r="O30" s="9">
        <f>O$24</f>
        <v>60000</v>
      </c>
      <c r="P30" s="9">
        <f>P$24</f>
        <v>37420</v>
      </c>
      <c r="S30" s="9">
        <f t="shared" si="8"/>
        <v>157320</v>
      </c>
      <c r="T30" s="107">
        <f>S30/S29</f>
        <v>89.897142857142853</v>
      </c>
      <c r="U30" s="111"/>
    </row>
    <row r="31" spans="2:22" x14ac:dyDescent="0.25">
      <c r="C31" t="s">
        <v>25</v>
      </c>
      <c r="Q31" s="5">
        <f>Q$15</f>
        <v>1500</v>
      </c>
      <c r="R31" s="5">
        <f>R$15</f>
        <v>800</v>
      </c>
      <c r="S31" s="5">
        <f t="shared" si="8"/>
        <v>2300</v>
      </c>
    </row>
    <row r="32" spans="2:22" x14ac:dyDescent="0.25">
      <c r="C32" s="11" t="s">
        <v>79</v>
      </c>
      <c r="Q32" s="9">
        <f>Q$24</f>
        <v>224000</v>
      </c>
      <c r="R32" s="9">
        <f>R$24</f>
        <v>119650</v>
      </c>
      <c r="S32" s="9">
        <f t="shared" si="8"/>
        <v>343650</v>
      </c>
      <c r="T32" s="107">
        <f>S32/S31</f>
        <v>149.41304347826087</v>
      </c>
      <c r="U32" s="111"/>
    </row>
    <row r="33" spans="3:23" x14ac:dyDescent="0.25">
      <c r="C33" s="11"/>
      <c r="Q33" s="9"/>
      <c r="R33" s="9"/>
      <c r="S33" s="9"/>
      <c r="T33" s="107"/>
      <c r="U33" s="111"/>
    </row>
    <row r="34" spans="3:23" x14ac:dyDescent="0.25">
      <c r="C34" s="11"/>
      <c r="Q34" s="9"/>
      <c r="R34" s="9"/>
      <c r="S34" s="9"/>
      <c r="T34" s="107"/>
      <c r="U34" s="111"/>
    </row>
    <row r="35" spans="3:23" x14ac:dyDescent="0.25">
      <c r="C35" s="14" t="str">
        <f>C90</f>
        <v>从工厂1运到仓库1，再运给客户A</v>
      </c>
      <c r="D35" s="5">
        <f>D$13</f>
        <v>500</v>
      </c>
      <c r="E35" s="5">
        <f>E$13</f>
        <v>2.1E-7</v>
      </c>
      <c r="F35" s="5">
        <f>F$13</f>
        <v>1.1000000000000001E-7</v>
      </c>
      <c r="S35" s="5">
        <f t="shared" ref="S35:S59" si="10">SUM(D35:R35)</f>
        <v>500.00000031999997</v>
      </c>
    </row>
    <row r="36" spans="3:23" x14ac:dyDescent="0.25">
      <c r="C36" s="14" t="str">
        <f>C92</f>
        <v>从工厂1运到仓库2，再运给客户A</v>
      </c>
      <c r="G36" s="5">
        <f>G$13</f>
        <v>360</v>
      </c>
      <c r="H36" s="5">
        <f>H$13</f>
        <v>200</v>
      </c>
      <c r="I36" s="5">
        <f>I$13</f>
        <v>0</v>
      </c>
      <c r="J36" s="5">
        <f>J$13</f>
        <v>1000</v>
      </c>
      <c r="S36" s="5">
        <f t="shared" si="10"/>
        <v>1560</v>
      </c>
    </row>
    <row r="37" spans="3:23" x14ac:dyDescent="0.25">
      <c r="C37" s="14" t="str">
        <f>C94</f>
        <v>从工厂1运到仓库2，再运给客户B</v>
      </c>
      <c r="K37" s="5">
        <f>K$13</f>
        <v>600</v>
      </c>
      <c r="L37" s="5">
        <f>L$13</f>
        <v>100</v>
      </c>
      <c r="S37" s="5">
        <f t="shared" si="10"/>
        <v>700</v>
      </c>
    </row>
    <row r="38" spans="3:23" x14ac:dyDescent="0.25">
      <c r="C38" s="14" t="str">
        <f>C97</f>
        <v>从工厂1运到仓库3，再运给客户A</v>
      </c>
      <c r="M38" s="5">
        <f>M$13</f>
        <v>1200</v>
      </c>
      <c r="N38" s="5">
        <f>N$13</f>
        <v>650</v>
      </c>
      <c r="S38" s="5">
        <f t="shared" si="10"/>
        <v>1850</v>
      </c>
    </row>
    <row r="39" spans="3:23" x14ac:dyDescent="0.25">
      <c r="C39" s="14" t="str">
        <f>C99</f>
        <v>从工厂1运到仓库3，再运给客户B</v>
      </c>
      <c r="O39" s="5">
        <f>O$13</f>
        <v>650</v>
      </c>
      <c r="P39" s="5">
        <f>P$13</f>
        <v>300</v>
      </c>
      <c r="S39" s="5">
        <f t="shared" si="10"/>
        <v>950</v>
      </c>
    </row>
    <row r="40" spans="3:23" x14ac:dyDescent="0.25">
      <c r="C40" s="14" t="str">
        <f>C101</f>
        <v>从工厂1运到仓库3，再运给客户C</v>
      </c>
      <c r="Q40" s="5">
        <f>Q$13</f>
        <v>0</v>
      </c>
      <c r="S40" s="5">
        <f t="shared" si="10"/>
        <v>0</v>
      </c>
    </row>
    <row r="41" spans="3:23" x14ac:dyDescent="0.25">
      <c r="C41" s="14" t="str">
        <f>C104</f>
        <v>从工厂1运到仓库4，再运给客户C</v>
      </c>
      <c r="R41" s="5">
        <f>R$13</f>
        <v>0</v>
      </c>
      <c r="S41" s="5">
        <f t="shared" si="10"/>
        <v>0</v>
      </c>
    </row>
    <row r="42" spans="3:23" x14ac:dyDescent="0.25">
      <c r="C42" s="14" t="str">
        <f>C106</f>
        <v>从工厂2运到仓库1，再运给客户A</v>
      </c>
      <c r="D42" s="5">
        <f>D$14</f>
        <v>0</v>
      </c>
      <c r="E42" s="5">
        <f>E$14</f>
        <v>0</v>
      </c>
      <c r="F42" s="5">
        <f>F$14</f>
        <v>0</v>
      </c>
      <c r="S42" s="5">
        <f t="shared" si="10"/>
        <v>0</v>
      </c>
    </row>
    <row r="43" spans="3:23" x14ac:dyDescent="0.25">
      <c r="C43" s="14" t="str">
        <f>C108</f>
        <v>从工厂2运到仓库2，再运给客户A</v>
      </c>
      <c r="G43" s="5">
        <f>G$14</f>
        <v>0</v>
      </c>
      <c r="H43" s="5">
        <f>H$14</f>
        <v>600</v>
      </c>
      <c r="I43" s="5">
        <f>I$14</f>
        <v>200</v>
      </c>
      <c r="J43" s="5">
        <f>J$14</f>
        <v>400</v>
      </c>
      <c r="S43" s="5">
        <f t="shared" si="10"/>
        <v>1200</v>
      </c>
    </row>
    <row r="44" spans="3:23" x14ac:dyDescent="0.25">
      <c r="C44" s="14" t="str">
        <f>C110</f>
        <v>从工厂2运到仓库2，再运给客户B</v>
      </c>
      <c r="K44" s="5">
        <f>K$14</f>
        <v>0</v>
      </c>
      <c r="L44" s="5">
        <f>L$14</f>
        <v>0</v>
      </c>
      <c r="S44" s="5">
        <f t="shared" si="10"/>
        <v>0</v>
      </c>
    </row>
    <row r="45" spans="3:23" x14ac:dyDescent="0.25">
      <c r="C45" s="14" t="str">
        <f>C113</f>
        <v>从工厂2运到仓库3，再运给客户A</v>
      </c>
      <c r="M45" s="5">
        <f>M$14</f>
        <v>400</v>
      </c>
      <c r="N45" s="5">
        <f>N$14</f>
        <v>0</v>
      </c>
      <c r="S45" s="5">
        <f t="shared" si="10"/>
        <v>400</v>
      </c>
    </row>
    <row r="46" spans="3:23" x14ac:dyDescent="0.25">
      <c r="C46" s="14" t="str">
        <f>C115</f>
        <v>从工厂2运到仓库3，再运给客户B</v>
      </c>
      <c r="O46" s="5">
        <f>O$14</f>
        <v>0</v>
      </c>
      <c r="P46" s="5">
        <f>P$14</f>
        <v>100</v>
      </c>
      <c r="S46" s="5">
        <f t="shared" si="10"/>
        <v>100</v>
      </c>
    </row>
    <row r="47" spans="3:23" x14ac:dyDescent="0.25">
      <c r="C47" s="14" t="str">
        <f>C117</f>
        <v>从工厂2运到仓库3，再运给客户C</v>
      </c>
      <c r="Q47" s="5">
        <f>Q$14</f>
        <v>1500</v>
      </c>
      <c r="S47" s="5">
        <f t="shared" si="10"/>
        <v>1500</v>
      </c>
    </row>
    <row r="48" spans="3:23" x14ac:dyDescent="0.25">
      <c r="C48" s="46" t="str">
        <f>C120</f>
        <v>从工厂2运到仓库4，再运给客户C</v>
      </c>
      <c r="D48" s="37"/>
      <c r="E48" s="37"/>
      <c r="F48" s="37"/>
      <c r="G48" s="37"/>
      <c r="H48" s="37"/>
      <c r="I48" s="37"/>
      <c r="J48" s="43"/>
      <c r="K48" s="43"/>
      <c r="L48" s="43"/>
      <c r="M48" s="43"/>
      <c r="N48" s="43"/>
      <c r="O48" s="43"/>
      <c r="P48" s="43"/>
      <c r="Q48" s="43"/>
      <c r="R48" s="47">
        <f>R$14</f>
        <v>800</v>
      </c>
      <c r="S48" s="47">
        <f t="shared" si="10"/>
        <v>800</v>
      </c>
      <c r="V48" s="40">
        <f>SUM(S35:S48)</f>
        <v>9560.0000003200003</v>
      </c>
      <c r="W48" s="40"/>
    </row>
    <row r="49" spans="2:23" x14ac:dyDescent="0.25">
      <c r="C49" s="14" t="str">
        <f>C122</f>
        <v>从仓库1运给客户A</v>
      </c>
      <c r="D49" s="5">
        <f>D$15</f>
        <v>500</v>
      </c>
      <c r="E49" s="5">
        <f>E$15</f>
        <v>2.1E-7</v>
      </c>
      <c r="F49" s="5">
        <f>F$15</f>
        <v>1.1000000000000001E-7</v>
      </c>
      <c r="S49" s="5">
        <f t="shared" si="10"/>
        <v>500.00000031999997</v>
      </c>
    </row>
    <row r="50" spans="2:23" x14ac:dyDescent="0.25">
      <c r="C50" s="14" t="str">
        <f>C124</f>
        <v>从仓库2运给客户A</v>
      </c>
      <c r="E50"/>
      <c r="G50" s="5">
        <f>G$15</f>
        <v>360</v>
      </c>
      <c r="H50" s="5">
        <f>H$15</f>
        <v>800</v>
      </c>
      <c r="I50" s="5">
        <f>I$15</f>
        <v>200</v>
      </c>
      <c r="J50" s="5">
        <f>J$15</f>
        <v>1400</v>
      </c>
      <c r="S50" s="5">
        <f t="shared" si="10"/>
        <v>2760</v>
      </c>
    </row>
    <row r="51" spans="2:23" x14ac:dyDescent="0.25">
      <c r="C51" s="14" t="str">
        <f>C126</f>
        <v>从仓库2运给客户B</v>
      </c>
      <c r="E51"/>
      <c r="F51"/>
      <c r="G51"/>
      <c r="H51"/>
      <c r="I51"/>
      <c r="K51" s="5">
        <f>K$15</f>
        <v>600</v>
      </c>
      <c r="L51" s="5">
        <f>L$15</f>
        <v>100</v>
      </c>
      <c r="S51" s="5">
        <f t="shared" si="10"/>
        <v>700</v>
      </c>
    </row>
    <row r="52" spans="2:23" x14ac:dyDescent="0.25">
      <c r="C52" s="14" t="str">
        <f>C128</f>
        <v>从仓库3运给客户A</v>
      </c>
      <c r="D52"/>
      <c r="E52"/>
      <c r="F52"/>
      <c r="G52"/>
      <c r="H52"/>
      <c r="I52"/>
      <c r="M52" s="5">
        <f>M$15</f>
        <v>1600</v>
      </c>
      <c r="N52" s="5">
        <f>N$15</f>
        <v>650</v>
      </c>
      <c r="S52" s="5">
        <f t="shared" si="10"/>
        <v>2250</v>
      </c>
    </row>
    <row r="53" spans="2:23" x14ac:dyDescent="0.25">
      <c r="C53" s="14" t="str">
        <f>C130</f>
        <v>从仓库3运给客户B</v>
      </c>
      <c r="D53"/>
      <c r="E53"/>
      <c r="F53"/>
      <c r="G53"/>
      <c r="H53"/>
      <c r="I53"/>
      <c r="O53" s="5">
        <f>O$15</f>
        <v>650</v>
      </c>
      <c r="P53" s="5">
        <f>P$15</f>
        <v>400</v>
      </c>
      <c r="S53" s="5">
        <f t="shared" si="10"/>
        <v>1050</v>
      </c>
    </row>
    <row r="54" spans="2:23" x14ac:dyDescent="0.25">
      <c r="C54" s="14" t="str">
        <f>C132</f>
        <v>从仓库3运给客户C</v>
      </c>
      <c r="D54"/>
      <c r="E54"/>
      <c r="F54"/>
      <c r="G54"/>
      <c r="H54"/>
      <c r="I54"/>
      <c r="Q54" s="5">
        <f>Q$15</f>
        <v>1500</v>
      </c>
      <c r="S54" s="5">
        <f t="shared" si="10"/>
        <v>1500</v>
      </c>
    </row>
    <row r="55" spans="2:23" x14ac:dyDescent="0.25">
      <c r="C55" s="46" t="str">
        <f>C134</f>
        <v>从仓库4运给客户C</v>
      </c>
      <c r="D55" s="43"/>
      <c r="E55" s="43"/>
      <c r="F55" s="43"/>
      <c r="G55" s="43"/>
      <c r="H55" s="43"/>
      <c r="I55" s="43"/>
      <c r="J55" s="43"/>
      <c r="K55" s="43"/>
      <c r="L55" s="43"/>
      <c r="M55" s="43"/>
      <c r="N55" s="43"/>
      <c r="O55" s="43"/>
      <c r="P55" s="43"/>
      <c r="Q55" s="43"/>
      <c r="R55" s="47">
        <f>R$15</f>
        <v>800</v>
      </c>
      <c r="S55" s="47">
        <f t="shared" si="10"/>
        <v>800</v>
      </c>
      <c r="V55" s="40">
        <f>SUM(S49:S55)</f>
        <v>9560.0000003200003</v>
      </c>
      <c r="W55" s="40"/>
    </row>
    <row r="56" spans="2:23" x14ac:dyDescent="0.25">
      <c r="C56" s="14" t="str">
        <f>C136</f>
        <v>卡车运输，从仓库1运给客户A</v>
      </c>
      <c r="D56" s="5">
        <f>D$15</f>
        <v>500</v>
      </c>
      <c r="E56" s="5">
        <f>E$15</f>
        <v>2.1E-7</v>
      </c>
      <c r="F56" s="5">
        <f>F$15</f>
        <v>1.1000000000000001E-7</v>
      </c>
      <c r="I56"/>
      <c r="S56" s="5">
        <f t="shared" si="10"/>
        <v>500.00000031999997</v>
      </c>
      <c r="V56" s="40"/>
      <c r="W56" s="40"/>
    </row>
    <row r="57" spans="2:23" x14ac:dyDescent="0.25">
      <c r="C57" s="14" t="str">
        <f>C137</f>
        <v>铁路运输，从仓库2运给客户A</v>
      </c>
      <c r="D57"/>
      <c r="E57"/>
      <c r="F57"/>
      <c r="G57" s="5">
        <f>G$15</f>
        <v>360</v>
      </c>
      <c r="H57" s="5">
        <f>H$15</f>
        <v>800</v>
      </c>
      <c r="I57"/>
      <c r="S57" s="5">
        <f t="shared" si="10"/>
        <v>1160</v>
      </c>
    </row>
    <row r="58" spans="2:23" x14ac:dyDescent="0.25">
      <c r="C58" s="14" t="str">
        <f>C139</f>
        <v>卡车运输，从仓库2运给客户B</v>
      </c>
      <c r="D58"/>
      <c r="E58"/>
      <c r="F58"/>
      <c r="G58"/>
      <c r="H58"/>
      <c r="I58"/>
      <c r="K58" s="5">
        <f>K$15</f>
        <v>600</v>
      </c>
      <c r="L58" s="5">
        <f>L$15</f>
        <v>100</v>
      </c>
      <c r="S58" s="5">
        <f t="shared" si="10"/>
        <v>700</v>
      </c>
    </row>
    <row r="59" spans="2:23" x14ac:dyDescent="0.25">
      <c r="C59" s="46" t="str">
        <f>C140</f>
        <v>铁路运输，从仓库3运给客户B</v>
      </c>
      <c r="D59" s="43"/>
      <c r="E59" s="43"/>
      <c r="F59" s="43"/>
      <c r="G59" s="43"/>
      <c r="H59" s="43"/>
      <c r="I59" s="43"/>
      <c r="J59" s="43"/>
      <c r="K59" s="43"/>
      <c r="L59" s="43"/>
      <c r="M59" s="43"/>
      <c r="N59" s="43"/>
      <c r="O59" s="47">
        <f>O$15</f>
        <v>650</v>
      </c>
      <c r="P59" s="47">
        <f>P$15</f>
        <v>400</v>
      </c>
      <c r="Q59" s="43"/>
      <c r="R59" s="43"/>
      <c r="S59" s="47">
        <f t="shared" si="10"/>
        <v>1050</v>
      </c>
    </row>
    <row r="60" spans="2:23" ht="14.4" thickBot="1" x14ac:dyDescent="0.3">
      <c r="C60" s="108"/>
      <c r="D60"/>
      <c r="E60"/>
      <c r="F60"/>
      <c r="G60"/>
      <c r="H60"/>
      <c r="I60"/>
      <c r="O60" s="22"/>
      <c r="P60" s="22"/>
      <c r="S60" s="22"/>
    </row>
    <row r="61" spans="2:23" x14ac:dyDescent="0.25">
      <c r="B61" s="66"/>
      <c r="C61" s="73"/>
      <c r="D61" s="73"/>
      <c r="E61" s="73"/>
      <c r="F61" s="73"/>
      <c r="G61" s="73"/>
      <c r="H61" s="73"/>
      <c r="I61" s="73"/>
      <c r="J61" s="73"/>
      <c r="K61" s="73"/>
      <c r="L61" s="73"/>
      <c r="M61" s="73"/>
      <c r="N61" s="73"/>
      <c r="O61" s="73"/>
      <c r="P61" s="73"/>
      <c r="Q61" s="73"/>
      <c r="R61" s="73"/>
      <c r="S61" s="73"/>
      <c r="T61" s="73"/>
      <c r="U61" s="67"/>
    </row>
    <row r="62" spans="2:23" x14ac:dyDescent="0.25">
      <c r="B62" s="76"/>
      <c r="C62" s="2" t="s">
        <v>102</v>
      </c>
      <c r="D62"/>
      <c r="S62" s="6"/>
      <c r="U62" s="74"/>
    </row>
    <row r="63" spans="2:23" x14ac:dyDescent="0.25">
      <c r="B63" s="76"/>
      <c r="C63" s="123" t="str">
        <f t="shared" ref="C63:R63" si="11">C6</f>
        <v>客户记录</v>
      </c>
      <c r="D63" s="35">
        <f t="shared" si="11"/>
        <v>1</v>
      </c>
      <c r="E63" s="35">
        <f t="shared" si="11"/>
        <v>2</v>
      </c>
      <c r="F63" s="35">
        <f t="shared" si="11"/>
        <v>3</v>
      </c>
      <c r="G63" s="35">
        <f t="shared" si="11"/>
        <v>4</v>
      </c>
      <c r="H63" s="35">
        <f t="shared" si="11"/>
        <v>5</v>
      </c>
      <c r="I63" s="35">
        <f t="shared" si="11"/>
        <v>6</v>
      </c>
      <c r="J63" s="35">
        <f t="shared" si="11"/>
        <v>7</v>
      </c>
      <c r="K63" s="35">
        <f t="shared" si="11"/>
        <v>8</v>
      </c>
      <c r="L63" s="35">
        <f t="shared" si="11"/>
        <v>9</v>
      </c>
      <c r="M63" s="35">
        <f t="shared" si="11"/>
        <v>10</v>
      </c>
      <c r="N63" s="35">
        <f t="shared" si="11"/>
        <v>11</v>
      </c>
      <c r="O63" s="35">
        <f t="shared" si="11"/>
        <v>12</v>
      </c>
      <c r="P63" s="35">
        <f t="shared" si="11"/>
        <v>13</v>
      </c>
      <c r="Q63" s="35">
        <f t="shared" si="11"/>
        <v>14</v>
      </c>
      <c r="R63" s="35">
        <f t="shared" si="11"/>
        <v>15</v>
      </c>
      <c r="U63" s="74"/>
    </row>
    <row r="64" spans="2:23" x14ac:dyDescent="0.25">
      <c r="B64" s="76"/>
      <c r="C64" s="3" t="str">
        <f t="shared" ref="C64:R64" si="12">C7</f>
        <v>客户</v>
      </c>
      <c r="D64" s="38" t="str">
        <f t="shared" si="12"/>
        <v>A</v>
      </c>
      <c r="E64" s="38" t="str">
        <f t="shared" si="12"/>
        <v>A</v>
      </c>
      <c r="F64" s="38" t="str">
        <f t="shared" si="12"/>
        <v>A</v>
      </c>
      <c r="G64" s="38" t="str">
        <f t="shared" si="12"/>
        <v>A</v>
      </c>
      <c r="H64" s="38" t="str">
        <f t="shared" si="12"/>
        <v>A</v>
      </c>
      <c r="I64" s="38" t="str">
        <f t="shared" si="12"/>
        <v>A</v>
      </c>
      <c r="J64" s="38" t="str">
        <f t="shared" si="12"/>
        <v>A</v>
      </c>
      <c r="K64" s="38" t="str">
        <f t="shared" si="12"/>
        <v>B</v>
      </c>
      <c r="L64" s="38" t="str">
        <f t="shared" si="12"/>
        <v>B</v>
      </c>
      <c r="M64" s="38" t="str">
        <f t="shared" si="12"/>
        <v>A</v>
      </c>
      <c r="N64" s="38" t="str">
        <f t="shared" si="12"/>
        <v>A</v>
      </c>
      <c r="O64" s="38" t="str">
        <f t="shared" si="12"/>
        <v>B</v>
      </c>
      <c r="P64" s="38" t="str">
        <f t="shared" si="12"/>
        <v>B</v>
      </c>
      <c r="Q64" s="38" t="str">
        <f t="shared" si="12"/>
        <v>C</v>
      </c>
      <c r="R64" s="38" t="str">
        <f t="shared" si="12"/>
        <v>C</v>
      </c>
      <c r="U64" s="74"/>
    </row>
    <row r="65" spans="2:22" x14ac:dyDescent="0.25">
      <c r="B65" s="76"/>
      <c r="C65" s="3" t="str">
        <f t="shared" ref="C65:R65" si="13">C8</f>
        <v>仓库</v>
      </c>
      <c r="D65" s="38">
        <f t="shared" si="13"/>
        <v>1</v>
      </c>
      <c r="E65" s="38">
        <f t="shared" si="13"/>
        <v>1</v>
      </c>
      <c r="F65" s="38">
        <f t="shared" si="13"/>
        <v>1</v>
      </c>
      <c r="G65" s="38">
        <f t="shared" si="13"/>
        <v>2</v>
      </c>
      <c r="H65" s="38">
        <f t="shared" si="13"/>
        <v>2</v>
      </c>
      <c r="I65" s="38">
        <f t="shared" si="13"/>
        <v>2</v>
      </c>
      <c r="J65" s="38">
        <f t="shared" si="13"/>
        <v>2</v>
      </c>
      <c r="K65" s="38">
        <f t="shared" si="13"/>
        <v>2</v>
      </c>
      <c r="L65" s="38">
        <f t="shared" si="13"/>
        <v>2</v>
      </c>
      <c r="M65" s="38">
        <f t="shared" si="13"/>
        <v>3</v>
      </c>
      <c r="N65" s="38">
        <f t="shared" si="13"/>
        <v>3</v>
      </c>
      <c r="O65" s="38">
        <f t="shared" si="13"/>
        <v>3</v>
      </c>
      <c r="P65" s="38">
        <f t="shared" si="13"/>
        <v>3</v>
      </c>
      <c r="Q65" s="38">
        <f t="shared" si="13"/>
        <v>3</v>
      </c>
      <c r="R65" s="38">
        <f t="shared" si="13"/>
        <v>4</v>
      </c>
      <c r="U65" s="74"/>
    </row>
    <row r="66" spans="2:22" x14ac:dyDescent="0.25">
      <c r="B66" s="76"/>
      <c r="C66" s="3" t="str">
        <f t="shared" ref="C66:R66" si="14">C9</f>
        <v>运输方式（后一段）</v>
      </c>
      <c r="D66" s="38" t="str">
        <f>D9</f>
        <v>卡车</v>
      </c>
      <c r="E66" s="38" t="str">
        <f t="shared" si="14"/>
        <v>卡车</v>
      </c>
      <c r="F66" s="38" t="str">
        <f t="shared" si="14"/>
        <v>卡车</v>
      </c>
      <c r="G66" s="38" t="str">
        <f t="shared" si="14"/>
        <v>铁路</v>
      </c>
      <c r="H66" s="38" t="str">
        <f t="shared" si="14"/>
        <v>铁路</v>
      </c>
      <c r="I66" s="38" t="str">
        <f t="shared" si="14"/>
        <v>驳船</v>
      </c>
      <c r="J66" s="38" t="str">
        <f t="shared" si="14"/>
        <v>卡车</v>
      </c>
      <c r="K66" s="38" t="str">
        <f t="shared" si="14"/>
        <v>卡车</v>
      </c>
      <c r="L66" s="38" t="str">
        <f t="shared" si="14"/>
        <v>卡车</v>
      </c>
      <c r="M66" s="38" t="str">
        <f t="shared" si="14"/>
        <v>卡车</v>
      </c>
      <c r="N66" s="38" t="str">
        <f t="shared" si="14"/>
        <v>铁路</v>
      </c>
      <c r="O66" s="38" t="str">
        <f t="shared" si="14"/>
        <v>铁路</v>
      </c>
      <c r="P66" s="38" t="str">
        <f t="shared" si="14"/>
        <v>铁路</v>
      </c>
      <c r="Q66" s="38" t="str">
        <f t="shared" si="14"/>
        <v>铁路</v>
      </c>
      <c r="R66" s="38" t="str">
        <f t="shared" si="14"/>
        <v>铁路</v>
      </c>
      <c r="U66" s="74"/>
    </row>
    <row r="67" spans="2:22" x14ac:dyDescent="0.25">
      <c r="B67" s="76"/>
      <c r="C67" s="65" t="str">
        <f t="shared" ref="C67:R67" si="15">C10</f>
        <v>承运商（后一段）</v>
      </c>
      <c r="D67" s="39" t="str">
        <f>D10</f>
        <v>卡车-1</v>
      </c>
      <c r="E67" s="39" t="str">
        <f t="shared" si="15"/>
        <v>卡车-2</v>
      </c>
      <c r="F67" s="39" t="str">
        <f t="shared" si="15"/>
        <v>卡车-3</v>
      </c>
      <c r="G67" s="39" t="str">
        <f t="shared" si="15"/>
        <v>铁路-1</v>
      </c>
      <c r="H67" s="39" t="str">
        <f t="shared" si="15"/>
        <v>铁路-2</v>
      </c>
      <c r="I67" s="39" t="str">
        <f t="shared" si="15"/>
        <v>驳船-1</v>
      </c>
      <c r="J67" s="39" t="str">
        <f t="shared" si="15"/>
        <v>卡车-2</v>
      </c>
      <c r="K67" s="39" t="str">
        <f t="shared" si="15"/>
        <v>卡车-3</v>
      </c>
      <c r="L67" s="39" t="str">
        <f t="shared" si="15"/>
        <v>卡车-4</v>
      </c>
      <c r="M67" s="39" t="str">
        <f t="shared" si="15"/>
        <v>卡车-1</v>
      </c>
      <c r="N67" s="39" t="str">
        <f t="shared" si="15"/>
        <v>铁路-2</v>
      </c>
      <c r="O67" s="39" t="str">
        <f t="shared" si="15"/>
        <v>铁路-2</v>
      </c>
      <c r="P67" s="39" t="str">
        <f t="shared" si="15"/>
        <v>铁路-3</v>
      </c>
      <c r="Q67" s="39" t="str">
        <f t="shared" si="15"/>
        <v>铁路-3</v>
      </c>
      <c r="R67" s="39" t="str">
        <f t="shared" si="15"/>
        <v>铁路-3</v>
      </c>
      <c r="U67" s="74"/>
    </row>
    <row r="68" spans="2:22" x14ac:dyDescent="0.25">
      <c r="B68" s="76"/>
      <c r="C68" s="3" t="str">
        <f t="shared" ref="C68:C81" si="16">C11</f>
        <v>运输次数（后一段）</v>
      </c>
      <c r="D68" s="22">
        <v>40</v>
      </c>
      <c r="E68" s="22">
        <v>11</v>
      </c>
      <c r="F68" s="22">
        <v>6</v>
      </c>
      <c r="G68" s="22">
        <v>1</v>
      </c>
      <c r="H68" s="1">
        <v>10</v>
      </c>
      <c r="I68" s="1">
        <v>5</v>
      </c>
      <c r="J68" s="22">
        <v>100</v>
      </c>
      <c r="K68" s="5">
        <f>K11/10000000000</f>
        <v>3E-9</v>
      </c>
      <c r="L68" s="5">
        <f>L11/10000000000</f>
        <v>4.0000000000000001E-10</v>
      </c>
      <c r="M68" s="1">
        <v>75</v>
      </c>
      <c r="N68" s="1">
        <v>5</v>
      </c>
      <c r="O68" s="1">
        <v>5</v>
      </c>
      <c r="P68" s="22">
        <v>10</v>
      </c>
      <c r="Q68" s="1">
        <v>4</v>
      </c>
      <c r="R68" s="1">
        <v>4</v>
      </c>
      <c r="S68" s="77">
        <f>SUM(D68:R68)</f>
        <v>276.00000000340003</v>
      </c>
      <c r="U68" s="74"/>
    </row>
    <row r="69" spans="2:22" x14ac:dyDescent="0.25">
      <c r="B69" s="76"/>
      <c r="C69" s="3" t="str">
        <f t="shared" si="16"/>
        <v>运输件数</v>
      </c>
      <c r="D69" s="22"/>
      <c r="E69" s="22"/>
      <c r="F69" s="22"/>
      <c r="G69" s="22"/>
      <c r="J69" s="22"/>
      <c r="K69" s="22"/>
      <c r="L69" s="22"/>
      <c r="M69" s="1"/>
      <c r="N69" s="1"/>
      <c r="O69" s="1"/>
      <c r="P69" s="22"/>
      <c r="Q69" s="1"/>
      <c r="R69" s="1"/>
      <c r="U69" s="74"/>
    </row>
    <row r="70" spans="2:22" x14ac:dyDescent="0.25">
      <c r="B70" s="76"/>
      <c r="C70" s="3" t="str">
        <f t="shared" si="16"/>
        <v xml:space="preserve">     工厂1</v>
      </c>
      <c r="D70" s="22">
        <v>800</v>
      </c>
      <c r="E70" s="22">
        <v>210</v>
      </c>
      <c r="F70" s="22">
        <v>110</v>
      </c>
      <c r="G70" s="22">
        <v>85</v>
      </c>
      <c r="H70" s="22">
        <v>200</v>
      </c>
      <c r="I70" s="22"/>
      <c r="J70" s="22">
        <v>2000</v>
      </c>
      <c r="K70" s="5">
        <f>K13/10000000000</f>
        <v>5.9999999999999995E-8</v>
      </c>
      <c r="L70" s="5">
        <f>L13/10000000000</f>
        <v>1E-8</v>
      </c>
      <c r="M70" s="22">
        <v>1200</v>
      </c>
      <c r="N70" s="22">
        <v>400</v>
      </c>
      <c r="O70" s="22">
        <v>400</v>
      </c>
      <c r="P70" s="22">
        <v>400</v>
      </c>
      <c r="Q70" s="22"/>
      <c r="R70" s="22"/>
      <c r="S70" s="77">
        <f>SUM(D70:R70)</f>
        <v>5805.0000000700002</v>
      </c>
      <c r="U70" s="74"/>
    </row>
    <row r="71" spans="2:22" x14ac:dyDescent="0.25">
      <c r="B71" s="76"/>
      <c r="C71" s="3" t="str">
        <f t="shared" si="16"/>
        <v xml:space="preserve">     工厂2</v>
      </c>
      <c r="D71" s="4"/>
      <c r="E71" s="4"/>
      <c r="F71" s="4"/>
      <c r="G71" s="4"/>
      <c r="H71" s="4">
        <v>800</v>
      </c>
      <c r="I71" s="4">
        <v>1000</v>
      </c>
      <c r="J71" s="4">
        <v>10</v>
      </c>
      <c r="K71" s="4"/>
      <c r="L71" s="4"/>
      <c r="M71" s="4">
        <v>400</v>
      </c>
      <c r="N71" s="4"/>
      <c r="O71" s="4"/>
      <c r="P71" s="4">
        <v>400</v>
      </c>
      <c r="Q71" s="4">
        <v>300</v>
      </c>
      <c r="R71" s="4">
        <v>300</v>
      </c>
      <c r="S71" s="7">
        <f>SUM(D71:R71)</f>
        <v>3210</v>
      </c>
      <c r="U71" s="74"/>
    </row>
    <row r="72" spans="2:22" x14ac:dyDescent="0.25">
      <c r="B72" s="76"/>
      <c r="C72" s="3" t="str">
        <f t="shared" si="16"/>
        <v>总运输件数</v>
      </c>
      <c r="D72" s="5">
        <f t="shared" ref="D72:S72" si="17">SUM(D70:D71)</f>
        <v>800</v>
      </c>
      <c r="E72" s="5">
        <f t="shared" si="17"/>
        <v>210</v>
      </c>
      <c r="F72" s="5">
        <f t="shared" si="17"/>
        <v>110</v>
      </c>
      <c r="G72" s="5">
        <f t="shared" si="17"/>
        <v>85</v>
      </c>
      <c r="H72" s="5">
        <f t="shared" si="17"/>
        <v>1000</v>
      </c>
      <c r="I72" s="5">
        <f t="shared" si="17"/>
        <v>1000</v>
      </c>
      <c r="J72" s="5">
        <f t="shared" si="17"/>
        <v>2010</v>
      </c>
      <c r="K72" s="5">
        <f t="shared" si="17"/>
        <v>5.9999999999999995E-8</v>
      </c>
      <c r="L72" s="5">
        <f t="shared" si="17"/>
        <v>1E-8</v>
      </c>
      <c r="M72" s="5">
        <f t="shared" si="17"/>
        <v>1600</v>
      </c>
      <c r="N72" s="5">
        <f t="shared" si="17"/>
        <v>400</v>
      </c>
      <c r="O72" s="5">
        <f t="shared" si="17"/>
        <v>400</v>
      </c>
      <c r="P72" s="5">
        <f t="shared" si="17"/>
        <v>800</v>
      </c>
      <c r="Q72" s="5">
        <f t="shared" si="17"/>
        <v>300</v>
      </c>
      <c r="R72" s="5">
        <f t="shared" si="17"/>
        <v>300</v>
      </c>
      <c r="S72" s="78">
        <f t="shared" si="17"/>
        <v>9015.0000000700002</v>
      </c>
      <c r="U72" s="74"/>
      <c r="V72" s="113">
        <f>SUM(D72:R72)</f>
        <v>9015.0000000700002</v>
      </c>
    </row>
    <row r="73" spans="2:22" x14ac:dyDescent="0.25">
      <c r="B73" s="76"/>
      <c r="C73" s="3" t="str">
        <f t="shared" si="16"/>
        <v>每次运输成本（后一段）</v>
      </c>
      <c r="D73" s="79">
        <v>1600</v>
      </c>
      <c r="E73" s="79">
        <v>1700</v>
      </c>
      <c r="F73" s="79">
        <v>1650</v>
      </c>
      <c r="G73" s="79">
        <v>4250</v>
      </c>
      <c r="H73" s="79">
        <v>3900</v>
      </c>
      <c r="I73" s="79">
        <v>8000</v>
      </c>
      <c r="J73" s="79">
        <v>1400</v>
      </c>
      <c r="K73" s="110">
        <f>K16</f>
        <v>1300</v>
      </c>
      <c r="L73" s="110">
        <f>L16</f>
        <v>1875</v>
      </c>
      <c r="M73" s="79">
        <v>1500</v>
      </c>
      <c r="N73" s="79">
        <v>4800</v>
      </c>
      <c r="O73" s="79">
        <v>4800</v>
      </c>
      <c r="P73" s="79">
        <v>4800</v>
      </c>
      <c r="Q73" s="79">
        <v>7000</v>
      </c>
      <c r="R73" s="79">
        <v>7500</v>
      </c>
      <c r="U73" s="74"/>
    </row>
    <row r="74" spans="2:22" x14ac:dyDescent="0.25">
      <c r="B74" s="76"/>
      <c r="C74" s="3" t="str">
        <f t="shared" si="16"/>
        <v>第一段单位成本</v>
      </c>
      <c r="G74"/>
      <c r="H74"/>
      <c r="I74"/>
      <c r="K74" s="109"/>
      <c r="L74" s="109"/>
      <c r="U74" s="74"/>
    </row>
    <row r="75" spans="2:22" x14ac:dyDescent="0.25">
      <c r="B75" s="76"/>
      <c r="C75" s="3" t="str">
        <f t="shared" si="16"/>
        <v xml:space="preserve">     工厂1</v>
      </c>
      <c r="D75" s="80">
        <v>15</v>
      </c>
      <c r="E75" s="80">
        <f>15.5</f>
        <v>15.5</v>
      </c>
      <c r="F75" s="80">
        <f>19</f>
        <v>19</v>
      </c>
      <c r="G75" s="111">
        <f>20</f>
        <v>20</v>
      </c>
      <c r="H75" s="80">
        <f>20</f>
        <v>20</v>
      </c>
      <c r="I75" s="80"/>
      <c r="J75" s="81">
        <f>20</f>
        <v>20</v>
      </c>
      <c r="K75" s="110">
        <f>K18</f>
        <v>19</v>
      </c>
      <c r="L75" s="110">
        <f>L18</f>
        <v>20</v>
      </c>
      <c r="M75" s="111">
        <f>35</f>
        <v>35</v>
      </c>
      <c r="N75" s="80">
        <f>35</f>
        <v>35</v>
      </c>
      <c r="O75" s="111">
        <f>30</f>
        <v>30</v>
      </c>
      <c r="P75" s="80">
        <f>30</f>
        <v>30</v>
      </c>
      <c r="Q75" s="80"/>
      <c r="R75" s="80"/>
      <c r="U75" s="74"/>
    </row>
    <row r="76" spans="2:22" x14ac:dyDescent="0.25">
      <c r="B76" s="76"/>
      <c r="C76" s="3" t="str">
        <f t="shared" si="16"/>
        <v xml:space="preserve">     工厂2</v>
      </c>
      <c r="D76" s="80"/>
      <c r="E76" s="80"/>
      <c r="F76" s="80"/>
      <c r="G76" s="80"/>
      <c r="H76" s="80">
        <f>20</f>
        <v>20</v>
      </c>
      <c r="I76" s="80">
        <f>20</f>
        <v>20</v>
      </c>
      <c r="J76" s="80">
        <f>20</f>
        <v>20</v>
      </c>
      <c r="K76" s="80"/>
      <c r="L76" s="80"/>
      <c r="M76" s="80">
        <f>45</f>
        <v>45</v>
      </c>
      <c r="N76" s="80"/>
      <c r="O76" s="80"/>
      <c r="P76" s="80">
        <f>35</f>
        <v>35</v>
      </c>
      <c r="Q76" s="111">
        <f>50</f>
        <v>50</v>
      </c>
      <c r="R76" s="111">
        <f>50</f>
        <v>50</v>
      </c>
      <c r="S76" s="6"/>
      <c r="U76" s="74"/>
    </row>
    <row r="77" spans="2:22" x14ac:dyDescent="0.25">
      <c r="B77" s="76"/>
      <c r="C77" s="3" t="str">
        <f t="shared" si="16"/>
        <v>后一段单位成本</v>
      </c>
      <c r="D77" s="8">
        <f t="shared" ref="D77:R77" si="18">D80/D72</f>
        <v>80</v>
      </c>
      <c r="E77" s="8">
        <f t="shared" si="18"/>
        <v>89.047619047619051</v>
      </c>
      <c r="F77" s="8">
        <f t="shared" si="18"/>
        <v>90</v>
      </c>
      <c r="G77" s="8">
        <f t="shared" si="18"/>
        <v>50</v>
      </c>
      <c r="H77" s="8">
        <f t="shared" si="18"/>
        <v>39</v>
      </c>
      <c r="I77" s="8">
        <f t="shared" si="18"/>
        <v>40</v>
      </c>
      <c r="J77" s="8">
        <f t="shared" si="18"/>
        <v>69.651741293532339</v>
      </c>
      <c r="K77" s="8">
        <f t="shared" si="18"/>
        <v>65</v>
      </c>
      <c r="L77" s="8">
        <f t="shared" si="18"/>
        <v>75</v>
      </c>
      <c r="M77" s="8">
        <f t="shared" si="18"/>
        <v>70.3125</v>
      </c>
      <c r="N77" s="8">
        <f t="shared" si="18"/>
        <v>60</v>
      </c>
      <c r="O77" s="8">
        <f t="shared" si="18"/>
        <v>60</v>
      </c>
      <c r="P77" s="8">
        <f t="shared" si="18"/>
        <v>60</v>
      </c>
      <c r="Q77" s="8">
        <f t="shared" si="18"/>
        <v>93.333333333333329</v>
      </c>
      <c r="R77" s="8">
        <f t="shared" si="18"/>
        <v>100</v>
      </c>
      <c r="U77" s="74"/>
    </row>
    <row r="78" spans="2:22" x14ac:dyDescent="0.25">
      <c r="B78" s="76"/>
      <c r="C78" s="3" t="str">
        <f t="shared" si="16"/>
        <v>单位成本总额</v>
      </c>
      <c r="D78" s="53">
        <f t="shared" ref="D78:R78" si="19">D81/D72</f>
        <v>95</v>
      </c>
      <c r="E78" s="53">
        <f t="shared" si="19"/>
        <v>104.54761904761905</v>
      </c>
      <c r="F78" s="53">
        <f t="shared" si="19"/>
        <v>109</v>
      </c>
      <c r="G78" s="53">
        <f t="shared" si="19"/>
        <v>70</v>
      </c>
      <c r="H78" s="53">
        <f t="shared" si="19"/>
        <v>59</v>
      </c>
      <c r="I78" s="53">
        <f t="shared" si="19"/>
        <v>60</v>
      </c>
      <c r="J78" s="53">
        <f t="shared" si="19"/>
        <v>89.651741293532339</v>
      </c>
      <c r="K78" s="53">
        <f t="shared" si="19"/>
        <v>84.000000000000014</v>
      </c>
      <c r="L78" s="53">
        <f t="shared" si="19"/>
        <v>95</v>
      </c>
      <c r="M78" s="53">
        <f t="shared" si="19"/>
        <v>107.8125</v>
      </c>
      <c r="N78" s="53">
        <f t="shared" si="19"/>
        <v>95</v>
      </c>
      <c r="O78" s="53">
        <f t="shared" si="19"/>
        <v>90</v>
      </c>
      <c r="P78" s="53">
        <f t="shared" si="19"/>
        <v>92.5</v>
      </c>
      <c r="Q78" s="53">
        <f t="shared" si="19"/>
        <v>143.33333333333334</v>
      </c>
      <c r="R78" s="53">
        <f t="shared" si="19"/>
        <v>150</v>
      </c>
      <c r="U78" s="74"/>
    </row>
    <row r="79" spans="2:22" x14ac:dyDescent="0.25">
      <c r="B79" s="76"/>
      <c r="C79" s="3" t="str">
        <f t="shared" si="16"/>
        <v>第一段成本总额</v>
      </c>
      <c r="D79" s="9">
        <f t="shared" ref="D79:R79" si="20">D70*D75+D71*D76</f>
        <v>12000</v>
      </c>
      <c r="E79" s="9">
        <f t="shared" si="20"/>
        <v>3255</v>
      </c>
      <c r="F79" s="9">
        <f t="shared" si="20"/>
        <v>2090</v>
      </c>
      <c r="G79" s="9">
        <f t="shared" si="20"/>
        <v>1700</v>
      </c>
      <c r="H79" s="9">
        <f t="shared" si="20"/>
        <v>20000</v>
      </c>
      <c r="I79" s="9">
        <f t="shared" si="20"/>
        <v>20000</v>
      </c>
      <c r="J79" s="9">
        <f t="shared" si="20"/>
        <v>40200</v>
      </c>
      <c r="K79" s="9">
        <f t="shared" si="20"/>
        <v>1.1399999999999999E-6</v>
      </c>
      <c r="L79" s="9">
        <f t="shared" si="20"/>
        <v>1.9999999999999999E-7</v>
      </c>
      <c r="M79" s="9">
        <f t="shared" si="20"/>
        <v>60000</v>
      </c>
      <c r="N79" s="9">
        <f t="shared" si="20"/>
        <v>14000</v>
      </c>
      <c r="O79" s="9">
        <f t="shared" si="20"/>
        <v>12000</v>
      </c>
      <c r="P79" s="9">
        <f t="shared" si="20"/>
        <v>26000</v>
      </c>
      <c r="Q79" s="9">
        <f t="shared" si="20"/>
        <v>15000</v>
      </c>
      <c r="R79" s="9">
        <f t="shared" si="20"/>
        <v>15000</v>
      </c>
      <c r="S79" s="9">
        <f>SUM(D79:R79)</f>
        <v>241245.00000134</v>
      </c>
      <c r="T79" s="107">
        <f>S79/S$72</f>
        <v>26.760399334383447</v>
      </c>
      <c r="U79" s="68"/>
    </row>
    <row r="80" spans="2:22" x14ac:dyDescent="0.25">
      <c r="B80" s="76"/>
      <c r="C80" s="3" t="str">
        <f t="shared" si="16"/>
        <v>后一段成本总额</v>
      </c>
      <c r="D80" s="15">
        <f t="shared" ref="D80:R80" si="21">D68*D73</f>
        <v>64000</v>
      </c>
      <c r="E80" s="15">
        <f t="shared" si="21"/>
        <v>18700</v>
      </c>
      <c r="F80" s="15">
        <f t="shared" si="21"/>
        <v>9900</v>
      </c>
      <c r="G80" s="15">
        <f t="shared" si="21"/>
        <v>4250</v>
      </c>
      <c r="H80" s="15">
        <f t="shared" si="21"/>
        <v>39000</v>
      </c>
      <c r="I80" s="15">
        <f t="shared" si="21"/>
        <v>40000</v>
      </c>
      <c r="J80" s="15">
        <f t="shared" si="21"/>
        <v>140000</v>
      </c>
      <c r="K80" s="15">
        <f t="shared" si="21"/>
        <v>3.8999999999999999E-6</v>
      </c>
      <c r="L80" s="15">
        <f t="shared" si="21"/>
        <v>7.5000000000000002E-7</v>
      </c>
      <c r="M80" s="15">
        <f t="shared" si="21"/>
        <v>112500</v>
      </c>
      <c r="N80" s="15">
        <f t="shared" si="21"/>
        <v>24000</v>
      </c>
      <c r="O80" s="15">
        <f t="shared" si="21"/>
        <v>24000</v>
      </c>
      <c r="P80" s="15">
        <f t="shared" si="21"/>
        <v>48000</v>
      </c>
      <c r="Q80" s="15">
        <f t="shared" si="21"/>
        <v>28000</v>
      </c>
      <c r="R80" s="15">
        <f t="shared" si="21"/>
        <v>30000</v>
      </c>
      <c r="S80" s="9">
        <f>SUM(D80:R80)</f>
        <v>582350.00000464998</v>
      </c>
      <c r="T80" s="107">
        <f>S80/S$72</f>
        <v>64.597892401567179</v>
      </c>
      <c r="U80" s="68"/>
    </row>
    <row r="81" spans="2:22" x14ac:dyDescent="0.25">
      <c r="B81" s="76"/>
      <c r="C81" s="3" t="str">
        <f t="shared" si="16"/>
        <v>总成本</v>
      </c>
      <c r="D81" s="9">
        <f t="shared" ref="D81:R81" si="22">SUM(D79:D80)</f>
        <v>76000</v>
      </c>
      <c r="E81" s="9">
        <f t="shared" si="22"/>
        <v>21955</v>
      </c>
      <c r="F81" s="9">
        <f t="shared" si="22"/>
        <v>11990</v>
      </c>
      <c r="G81" s="9">
        <f t="shared" si="22"/>
        <v>5950</v>
      </c>
      <c r="H81" s="9">
        <f t="shared" si="22"/>
        <v>59000</v>
      </c>
      <c r="I81" s="9">
        <f t="shared" si="22"/>
        <v>60000</v>
      </c>
      <c r="J81" s="9">
        <f t="shared" si="22"/>
        <v>180200</v>
      </c>
      <c r="K81" s="9">
        <f t="shared" si="22"/>
        <v>5.04E-6</v>
      </c>
      <c r="L81" s="9">
        <f t="shared" si="22"/>
        <v>9.5000000000000001E-7</v>
      </c>
      <c r="M81" s="9">
        <f t="shared" si="22"/>
        <v>172500</v>
      </c>
      <c r="N81" s="9">
        <f t="shared" si="22"/>
        <v>38000</v>
      </c>
      <c r="O81" s="9">
        <f t="shared" si="22"/>
        <v>36000</v>
      </c>
      <c r="P81" s="9">
        <f t="shared" si="22"/>
        <v>74000</v>
      </c>
      <c r="Q81" s="9">
        <f t="shared" si="22"/>
        <v>43000</v>
      </c>
      <c r="R81" s="9">
        <f t="shared" si="22"/>
        <v>45000</v>
      </c>
      <c r="S81" s="82">
        <f>SUM(D81:R81)</f>
        <v>823595.00000599003</v>
      </c>
      <c r="T81" s="107">
        <f>S81/S$72</f>
        <v>91.35829173595063</v>
      </c>
      <c r="U81" s="68"/>
      <c r="V81" s="31">
        <f>S79+S80</f>
        <v>823595.00000599003</v>
      </c>
    </row>
    <row r="82" spans="2:22" ht="14.4" thickBot="1" x14ac:dyDescent="0.3">
      <c r="B82" s="69"/>
      <c r="C82" s="95"/>
      <c r="D82" s="125"/>
      <c r="E82" s="125"/>
      <c r="F82" s="125"/>
      <c r="G82" s="125"/>
      <c r="H82" s="125"/>
      <c r="I82" s="125"/>
      <c r="J82" s="125"/>
      <c r="K82" s="125"/>
      <c r="L82" s="125"/>
      <c r="M82" s="125"/>
      <c r="N82" s="125"/>
      <c r="O82" s="125"/>
      <c r="P82" s="125"/>
      <c r="Q82" s="125"/>
      <c r="R82" s="125"/>
      <c r="S82" s="126"/>
      <c r="T82" s="127"/>
      <c r="U82" s="128"/>
      <c r="V82" s="129"/>
    </row>
    <row r="83" spans="2:22" x14ac:dyDescent="0.25">
      <c r="D83" s="28"/>
      <c r="E83" s="28"/>
      <c r="F83" s="28"/>
      <c r="G83" s="28"/>
      <c r="H83" s="28"/>
      <c r="I83" s="28"/>
      <c r="J83" s="28"/>
      <c r="K83" s="28"/>
      <c r="L83" s="28"/>
      <c r="M83" s="28"/>
      <c r="N83" s="28"/>
      <c r="O83" s="28"/>
      <c r="P83" s="28"/>
      <c r="Q83" s="28"/>
      <c r="R83" s="28"/>
    </row>
    <row r="84" spans="2:22" x14ac:dyDescent="0.25">
      <c r="C84" s="3" t="str">
        <f t="shared" ref="C84:C89" si="23">C27</f>
        <v>客户 A</v>
      </c>
      <c r="D84" s="5">
        <f t="shared" ref="D84:J84" si="24">D$72</f>
        <v>800</v>
      </c>
      <c r="E84" s="5">
        <f t="shared" si="24"/>
        <v>210</v>
      </c>
      <c r="F84" s="5">
        <f t="shared" si="24"/>
        <v>110</v>
      </c>
      <c r="G84" s="5">
        <f t="shared" si="24"/>
        <v>85</v>
      </c>
      <c r="H84" s="5">
        <f t="shared" si="24"/>
        <v>1000</v>
      </c>
      <c r="I84" s="5">
        <f t="shared" si="24"/>
        <v>1000</v>
      </c>
      <c r="J84" s="5">
        <f t="shared" si="24"/>
        <v>2010</v>
      </c>
      <c r="M84" s="5">
        <f>M$72</f>
        <v>1600</v>
      </c>
      <c r="N84" s="5">
        <f>N$72</f>
        <v>400</v>
      </c>
      <c r="P84" s="22"/>
      <c r="Q84" s="22"/>
      <c r="R84" s="22"/>
      <c r="S84" s="5">
        <f t="shared" ref="S84:S115" si="25">SUM(D84:R84)</f>
        <v>7215</v>
      </c>
    </row>
    <row r="85" spans="2:22" x14ac:dyDescent="0.25">
      <c r="C85" s="26" t="str">
        <f t="shared" si="23"/>
        <v>总成本</v>
      </c>
      <c r="D85" s="9">
        <f t="shared" ref="D85:J85" si="26">D$81</f>
        <v>76000</v>
      </c>
      <c r="E85" s="9">
        <f t="shared" si="26"/>
        <v>21955</v>
      </c>
      <c r="F85" s="9">
        <f t="shared" si="26"/>
        <v>11990</v>
      </c>
      <c r="G85" s="9">
        <f t="shared" si="26"/>
        <v>5950</v>
      </c>
      <c r="H85" s="9">
        <f t="shared" si="26"/>
        <v>59000</v>
      </c>
      <c r="I85" s="9">
        <f t="shared" si="26"/>
        <v>60000</v>
      </c>
      <c r="J85" s="9">
        <f t="shared" si="26"/>
        <v>180200</v>
      </c>
      <c r="M85" s="9">
        <f>M$81</f>
        <v>172500</v>
      </c>
      <c r="N85" s="9">
        <f>N$81</f>
        <v>38000</v>
      </c>
      <c r="P85" s="23"/>
      <c r="Q85" s="23"/>
      <c r="R85" s="23"/>
      <c r="S85" s="9">
        <f t="shared" si="25"/>
        <v>625595</v>
      </c>
      <c r="T85" s="24">
        <f>S85/S84</f>
        <v>86.707553707553714</v>
      </c>
      <c r="U85" s="111"/>
    </row>
    <row r="86" spans="2:22" x14ac:dyDescent="0.25">
      <c r="C86" s="3" t="str">
        <f t="shared" si="23"/>
        <v>客户 B</v>
      </c>
      <c r="K86" s="5">
        <f>K$72</f>
        <v>5.9999999999999995E-8</v>
      </c>
      <c r="L86" s="5">
        <f>L$72</f>
        <v>1E-8</v>
      </c>
      <c r="O86" s="5">
        <f>O$72</f>
        <v>400</v>
      </c>
      <c r="P86" s="5">
        <f>P$72</f>
        <v>800</v>
      </c>
      <c r="S86" s="5">
        <f t="shared" si="25"/>
        <v>1200.0000000699999</v>
      </c>
    </row>
    <row r="87" spans="2:22" x14ac:dyDescent="0.25">
      <c r="C87" s="26" t="str">
        <f t="shared" si="23"/>
        <v>总成本</v>
      </c>
      <c r="K87" s="9">
        <f>K$81</f>
        <v>5.04E-6</v>
      </c>
      <c r="L87" s="9">
        <f>L$81</f>
        <v>9.5000000000000001E-7</v>
      </c>
      <c r="O87" s="9">
        <f>O$81</f>
        <v>36000</v>
      </c>
      <c r="P87" s="9">
        <f>P$81</f>
        <v>74000</v>
      </c>
      <c r="S87" s="9">
        <f t="shared" si="25"/>
        <v>110000.00000599</v>
      </c>
      <c r="T87" s="24">
        <f>S87/S86</f>
        <v>91.666666666311116</v>
      </c>
      <c r="U87" s="111"/>
    </row>
    <row r="88" spans="2:22" x14ac:dyDescent="0.25">
      <c r="C88" s="3" t="str">
        <f t="shared" si="23"/>
        <v>客户 C</v>
      </c>
      <c r="Q88" s="5">
        <f>Q$72</f>
        <v>300</v>
      </c>
      <c r="R88" s="5">
        <f>R$72</f>
        <v>300</v>
      </c>
      <c r="S88" s="5">
        <f t="shared" si="25"/>
        <v>600</v>
      </c>
    </row>
    <row r="89" spans="2:22" x14ac:dyDescent="0.25">
      <c r="C89" s="42" t="str">
        <f t="shared" si="23"/>
        <v>总成本</v>
      </c>
      <c r="D89" s="37"/>
      <c r="E89" s="37"/>
      <c r="F89" s="37"/>
      <c r="G89" s="37"/>
      <c r="H89" s="37"/>
      <c r="I89" s="37"/>
      <c r="J89" s="43"/>
      <c r="K89" s="43"/>
      <c r="L89" s="43"/>
      <c r="M89" s="43"/>
      <c r="N89" s="43"/>
      <c r="O89" s="43"/>
      <c r="P89" s="43"/>
      <c r="Q89" s="15">
        <f>Q$81</f>
        <v>43000</v>
      </c>
      <c r="R89" s="15">
        <f>R$81</f>
        <v>45000</v>
      </c>
      <c r="S89" s="15">
        <f t="shared" si="25"/>
        <v>88000</v>
      </c>
      <c r="T89" s="44">
        <f>S89/S88</f>
        <v>146.66666666666666</v>
      </c>
      <c r="U89" s="111"/>
    </row>
    <row r="90" spans="2:22" x14ac:dyDescent="0.25">
      <c r="C90" t="s">
        <v>84</v>
      </c>
      <c r="D90" s="5">
        <f>D$70</f>
        <v>800</v>
      </c>
      <c r="E90" s="5">
        <f>E$70</f>
        <v>210</v>
      </c>
      <c r="F90" s="5">
        <f>F$70</f>
        <v>110</v>
      </c>
      <c r="G90"/>
      <c r="H90"/>
      <c r="I90"/>
      <c r="S90" s="5">
        <f t="shared" si="25"/>
        <v>1120</v>
      </c>
    </row>
    <row r="91" spans="2:22" x14ac:dyDescent="0.25">
      <c r="C91" s="11" t="s">
        <v>85</v>
      </c>
      <c r="D91" s="29">
        <f>D$70*D$75</f>
        <v>12000</v>
      </c>
      <c r="E91" s="29">
        <f>E$70*E$75</f>
        <v>3255</v>
      </c>
      <c r="F91" s="29">
        <f>F$70*F$75</f>
        <v>2090</v>
      </c>
      <c r="G91"/>
      <c r="H91"/>
      <c r="I91"/>
      <c r="S91" s="9">
        <f t="shared" si="25"/>
        <v>17345</v>
      </c>
      <c r="T91" s="24">
        <f>S91/S90</f>
        <v>15.486607142857142</v>
      </c>
      <c r="U91" s="111"/>
    </row>
    <row r="92" spans="2:22" x14ac:dyDescent="0.25">
      <c r="C92" t="s">
        <v>88</v>
      </c>
      <c r="D92"/>
      <c r="E92"/>
      <c r="F92"/>
      <c r="G92" s="5">
        <f>G$70</f>
        <v>85</v>
      </c>
      <c r="H92" s="5">
        <f>H$70</f>
        <v>200</v>
      </c>
      <c r="I92" s="5">
        <f>I$70</f>
        <v>0</v>
      </c>
      <c r="J92" s="5">
        <f>J$70</f>
        <v>2000</v>
      </c>
      <c r="S92" s="5">
        <f t="shared" si="25"/>
        <v>2285</v>
      </c>
    </row>
    <row r="93" spans="2:22" x14ac:dyDescent="0.25">
      <c r="C93" s="11" t="s">
        <v>85</v>
      </c>
      <c r="D93"/>
      <c r="E93"/>
      <c r="F93"/>
      <c r="G93" s="29">
        <f>G$70*G$75</f>
        <v>1700</v>
      </c>
      <c r="H93" s="29">
        <f>H$70*H$75</f>
        <v>4000</v>
      </c>
      <c r="I93" s="29">
        <f>I$70*I$75</f>
        <v>0</v>
      </c>
      <c r="J93" s="29">
        <f>J$70*J$75</f>
        <v>40000</v>
      </c>
      <c r="S93" s="9">
        <f t="shared" si="25"/>
        <v>45700</v>
      </c>
      <c r="T93" s="24">
        <f>S93/S92</f>
        <v>20</v>
      </c>
      <c r="U93" s="111"/>
    </row>
    <row r="94" spans="2:22" x14ac:dyDescent="0.25">
      <c r="C94" t="s">
        <v>89</v>
      </c>
      <c r="K94" s="5">
        <f>K$70</f>
        <v>5.9999999999999995E-8</v>
      </c>
      <c r="L94" s="5">
        <f>L$70</f>
        <v>1E-8</v>
      </c>
      <c r="S94" s="5">
        <f t="shared" si="25"/>
        <v>6.9999999999999992E-8</v>
      </c>
    </row>
    <row r="95" spans="2:22" x14ac:dyDescent="0.25">
      <c r="C95" s="11" t="s">
        <v>85</v>
      </c>
      <c r="K95" s="29">
        <f>K$70*K$75</f>
        <v>1.1399999999999999E-6</v>
      </c>
      <c r="L95" s="29">
        <f>L$70*L$75</f>
        <v>1.9999999999999999E-7</v>
      </c>
      <c r="S95" s="9">
        <f t="shared" si="25"/>
        <v>1.3399999999999999E-6</v>
      </c>
      <c r="T95" s="24">
        <f>S95/S94</f>
        <v>19.142857142857142</v>
      </c>
      <c r="U95" s="111"/>
    </row>
    <row r="96" spans="2:22" x14ac:dyDescent="0.25">
      <c r="C96" s="11" t="s">
        <v>90</v>
      </c>
      <c r="D96"/>
      <c r="E96"/>
      <c r="F96"/>
      <c r="G96" s="29">
        <f>G$70*G$75</f>
        <v>1700</v>
      </c>
      <c r="H96" s="29">
        <f>H$70*H$75</f>
        <v>4000</v>
      </c>
      <c r="I96" s="29">
        <f>I$70*I$75</f>
        <v>0</v>
      </c>
      <c r="J96" s="29">
        <f>J$70*J$75</f>
        <v>40000</v>
      </c>
      <c r="K96" s="29">
        <f>K$70*K$75</f>
        <v>1.1399999999999999E-6</v>
      </c>
      <c r="L96" s="29">
        <f>L$70*L$75</f>
        <v>1.9999999999999999E-7</v>
      </c>
      <c r="S96" s="9">
        <f t="shared" si="25"/>
        <v>45700.000001339999</v>
      </c>
      <c r="T96" s="24">
        <f>S96/(S92+S94)</f>
        <v>19.999999999973738</v>
      </c>
      <c r="U96" s="111"/>
    </row>
    <row r="97" spans="3:21" x14ac:dyDescent="0.25">
      <c r="C97" t="s">
        <v>91</v>
      </c>
      <c r="D97"/>
      <c r="E97"/>
      <c r="F97"/>
      <c r="G97"/>
      <c r="H97"/>
      <c r="I97"/>
      <c r="M97" s="5">
        <f>M$70</f>
        <v>1200</v>
      </c>
      <c r="N97" s="5">
        <f>N$70</f>
        <v>400</v>
      </c>
      <c r="S97" s="5">
        <f t="shared" si="25"/>
        <v>1600</v>
      </c>
    </row>
    <row r="98" spans="3:21" x14ac:dyDescent="0.25">
      <c r="C98" s="11" t="s">
        <v>85</v>
      </c>
      <c r="D98"/>
      <c r="E98"/>
      <c r="F98"/>
      <c r="G98"/>
      <c r="H98"/>
      <c r="I98"/>
      <c r="M98" s="29">
        <f>M$70*M$75</f>
        <v>42000</v>
      </c>
      <c r="N98" s="29">
        <f>N$70*N$75</f>
        <v>14000</v>
      </c>
      <c r="S98" s="9">
        <f t="shared" si="25"/>
        <v>56000</v>
      </c>
      <c r="T98" s="24">
        <f>S98/S97</f>
        <v>35</v>
      </c>
      <c r="U98" s="111"/>
    </row>
    <row r="99" spans="3:21" x14ac:dyDescent="0.25">
      <c r="C99" t="s">
        <v>92</v>
      </c>
      <c r="D99"/>
      <c r="E99"/>
      <c r="F99"/>
      <c r="G99"/>
      <c r="H99"/>
      <c r="I99"/>
      <c r="O99" s="5">
        <f>O$70</f>
        <v>400</v>
      </c>
      <c r="P99" s="5">
        <f>P$70</f>
        <v>400</v>
      </c>
      <c r="S99" s="5">
        <f t="shared" si="25"/>
        <v>800</v>
      </c>
    </row>
    <row r="100" spans="3:21" x14ac:dyDescent="0.25">
      <c r="C100" s="11" t="s">
        <v>85</v>
      </c>
      <c r="D100"/>
      <c r="E100"/>
      <c r="F100"/>
      <c r="G100"/>
      <c r="H100"/>
      <c r="I100"/>
      <c r="O100" s="29">
        <f>O$70*O$75</f>
        <v>12000</v>
      </c>
      <c r="P100" s="29">
        <f>P$70*P$75</f>
        <v>12000</v>
      </c>
      <c r="S100" s="9">
        <f t="shared" si="25"/>
        <v>24000</v>
      </c>
      <c r="T100" s="50">
        <f>S100/S99</f>
        <v>30</v>
      </c>
      <c r="U100" s="111"/>
    </row>
    <row r="101" spans="3:21" x14ac:dyDescent="0.25">
      <c r="C101" t="s">
        <v>93</v>
      </c>
      <c r="D101"/>
      <c r="E101"/>
      <c r="F101"/>
      <c r="G101"/>
      <c r="H101"/>
      <c r="I101"/>
      <c r="Q101" s="5">
        <f>Q$70</f>
        <v>0</v>
      </c>
      <c r="S101" s="5">
        <f t="shared" si="25"/>
        <v>0</v>
      </c>
    </row>
    <row r="102" spans="3:21" x14ac:dyDescent="0.25">
      <c r="C102" s="11" t="s">
        <v>85</v>
      </c>
      <c r="D102"/>
      <c r="E102"/>
      <c r="F102"/>
      <c r="G102"/>
      <c r="H102"/>
      <c r="I102"/>
      <c r="Q102" s="29">
        <f>Q$70*Q$75</f>
        <v>0</v>
      </c>
      <c r="S102" s="9">
        <f t="shared" si="25"/>
        <v>0</v>
      </c>
      <c r="T102" s="50">
        <v>0</v>
      </c>
      <c r="U102" s="111"/>
    </row>
    <row r="103" spans="3:21" x14ac:dyDescent="0.25">
      <c r="C103" s="11" t="s">
        <v>87</v>
      </c>
      <c r="D103"/>
      <c r="E103"/>
      <c r="F103"/>
      <c r="G103"/>
      <c r="H103"/>
      <c r="I103"/>
      <c r="M103" s="29">
        <f>M$70*M$75</f>
        <v>42000</v>
      </c>
      <c r="N103" s="29">
        <f>N$70*N$75</f>
        <v>14000</v>
      </c>
      <c r="O103" s="29">
        <f>O$70*O$75</f>
        <v>12000</v>
      </c>
      <c r="P103" s="29">
        <f>P$70*P$75</f>
        <v>12000</v>
      </c>
      <c r="Q103" s="29">
        <f>Q$70*Q$75</f>
        <v>0</v>
      </c>
      <c r="S103" s="9">
        <f t="shared" si="25"/>
        <v>80000</v>
      </c>
      <c r="T103" s="50">
        <f>S103/(S97+S99+S101)</f>
        <v>33.333333333333336</v>
      </c>
      <c r="U103" s="111"/>
    </row>
    <row r="104" spans="3:21" x14ac:dyDescent="0.25">
      <c r="C104" t="s">
        <v>94</v>
      </c>
      <c r="D104"/>
      <c r="E104"/>
      <c r="F104"/>
      <c r="G104"/>
      <c r="H104"/>
      <c r="I104"/>
      <c r="R104" s="5">
        <f>R$70</f>
        <v>0</v>
      </c>
      <c r="S104" s="5">
        <f t="shared" si="25"/>
        <v>0</v>
      </c>
    </row>
    <row r="105" spans="3:21" x14ac:dyDescent="0.25">
      <c r="C105" s="11" t="s">
        <v>85</v>
      </c>
      <c r="D105"/>
      <c r="E105"/>
      <c r="F105"/>
      <c r="G105"/>
      <c r="H105"/>
      <c r="I105"/>
      <c r="R105" s="29">
        <f>R$70*R$75</f>
        <v>0</v>
      </c>
      <c r="S105" s="9">
        <f t="shared" si="25"/>
        <v>0</v>
      </c>
      <c r="T105" s="50">
        <v>0</v>
      </c>
      <c r="U105" s="111"/>
    </row>
    <row r="106" spans="3:21" x14ac:dyDescent="0.25">
      <c r="C106" t="s">
        <v>95</v>
      </c>
      <c r="D106" s="5">
        <f>D$71</f>
        <v>0</v>
      </c>
      <c r="E106" s="5">
        <f>E$71</f>
        <v>0</v>
      </c>
      <c r="F106" s="5">
        <f>F$71</f>
        <v>0</v>
      </c>
      <c r="S106" s="5">
        <f t="shared" si="25"/>
        <v>0</v>
      </c>
    </row>
    <row r="107" spans="3:21" x14ac:dyDescent="0.25">
      <c r="C107" s="11" t="s">
        <v>85</v>
      </c>
      <c r="D107" s="29">
        <f>D$71*D$76</f>
        <v>0</v>
      </c>
      <c r="E107" s="29">
        <f>E$71*E$76</f>
        <v>0</v>
      </c>
      <c r="F107" s="29">
        <f>F$71*F$76</f>
        <v>0</v>
      </c>
      <c r="S107" s="9">
        <f t="shared" si="25"/>
        <v>0</v>
      </c>
      <c r="T107" s="50">
        <v>0</v>
      </c>
      <c r="U107" s="111"/>
    </row>
    <row r="108" spans="3:21" x14ac:dyDescent="0.25">
      <c r="C108" t="s">
        <v>96</v>
      </c>
      <c r="D108"/>
      <c r="E108"/>
      <c r="F108"/>
      <c r="G108" s="5">
        <f>G$71</f>
        <v>0</v>
      </c>
      <c r="H108" s="5">
        <f>H$71</f>
        <v>800</v>
      </c>
      <c r="I108" s="5">
        <f>I$71</f>
        <v>1000</v>
      </c>
      <c r="J108" s="5">
        <f>J$71</f>
        <v>10</v>
      </c>
      <c r="S108" s="5">
        <f t="shared" si="25"/>
        <v>1810</v>
      </c>
    </row>
    <row r="109" spans="3:21" x14ac:dyDescent="0.25">
      <c r="C109" s="11" t="s">
        <v>85</v>
      </c>
      <c r="D109"/>
      <c r="E109"/>
      <c r="F109"/>
      <c r="G109" s="29">
        <f>G$71*G$76</f>
        <v>0</v>
      </c>
      <c r="H109" s="29">
        <f>H$71*H$76</f>
        <v>16000</v>
      </c>
      <c r="I109" s="29">
        <f>I$71*I$76</f>
        <v>20000</v>
      </c>
      <c r="J109" s="29">
        <f>J$71*J$76</f>
        <v>200</v>
      </c>
      <c r="S109" s="9">
        <f t="shared" si="25"/>
        <v>36200</v>
      </c>
      <c r="T109" s="50">
        <f>S109/S108</f>
        <v>20</v>
      </c>
      <c r="U109" s="111"/>
    </row>
    <row r="110" spans="3:21" x14ac:dyDescent="0.25">
      <c r="C110" t="s">
        <v>97</v>
      </c>
      <c r="D110"/>
      <c r="E110"/>
      <c r="F110"/>
      <c r="K110" s="5">
        <f>K$71</f>
        <v>0</v>
      </c>
      <c r="L110" s="5">
        <f>L$71</f>
        <v>0</v>
      </c>
      <c r="S110" s="5">
        <f t="shared" si="25"/>
        <v>0</v>
      </c>
    </row>
    <row r="111" spans="3:21" x14ac:dyDescent="0.25">
      <c r="C111" s="11" t="s">
        <v>85</v>
      </c>
      <c r="D111"/>
      <c r="E111"/>
      <c r="F111"/>
      <c r="K111" s="29">
        <f>K$71*K$76</f>
        <v>0</v>
      </c>
      <c r="L111" s="29">
        <f>L$71*L$76</f>
        <v>0</v>
      </c>
      <c r="S111" s="9">
        <f t="shared" si="25"/>
        <v>0</v>
      </c>
      <c r="T111" s="50">
        <v>0</v>
      </c>
      <c r="U111" s="111"/>
    </row>
    <row r="112" spans="3:21" x14ac:dyDescent="0.25">
      <c r="C112" s="11" t="s">
        <v>90</v>
      </c>
      <c r="D112"/>
      <c r="E112"/>
      <c r="F112"/>
      <c r="G112" s="29">
        <f>G$71*G$76</f>
        <v>0</v>
      </c>
      <c r="H112" s="29">
        <f>H$71*H$76</f>
        <v>16000</v>
      </c>
      <c r="I112" s="29">
        <f>I$71*I$76</f>
        <v>20000</v>
      </c>
      <c r="J112" s="29">
        <f>J$71*J$76</f>
        <v>200</v>
      </c>
      <c r="K112" s="29">
        <f>K$71*K$76</f>
        <v>0</v>
      </c>
      <c r="L112" s="29">
        <f>L$71*L$76</f>
        <v>0</v>
      </c>
      <c r="S112" s="9">
        <f t="shared" si="25"/>
        <v>36200</v>
      </c>
      <c r="T112" s="50">
        <f>S112/(S108+S110)</f>
        <v>20</v>
      </c>
      <c r="U112" s="111"/>
    </row>
    <row r="113" spans="3:23" x14ac:dyDescent="0.25">
      <c r="C113" t="s">
        <v>98</v>
      </c>
      <c r="F113"/>
      <c r="G113"/>
      <c r="H113"/>
      <c r="I113"/>
      <c r="M113" s="5">
        <f>M$71</f>
        <v>400</v>
      </c>
      <c r="N113" s="5">
        <f>N$71</f>
        <v>0</v>
      </c>
      <c r="S113" s="5">
        <f t="shared" si="25"/>
        <v>400</v>
      </c>
    </row>
    <row r="114" spans="3:23" x14ac:dyDescent="0.25">
      <c r="C114" s="11" t="s">
        <v>85</v>
      </c>
      <c r="F114"/>
      <c r="G114"/>
      <c r="H114"/>
      <c r="I114"/>
      <c r="M114" s="29">
        <f>M$71*M$76</f>
        <v>18000</v>
      </c>
      <c r="N114" s="29">
        <f>N$71*N$76</f>
        <v>0</v>
      </c>
      <c r="S114" s="9">
        <f t="shared" si="25"/>
        <v>18000</v>
      </c>
      <c r="T114" s="24">
        <f>S114/S113</f>
        <v>45</v>
      </c>
      <c r="U114" s="111"/>
    </row>
    <row r="115" spans="3:23" x14ac:dyDescent="0.25">
      <c r="C115" t="s">
        <v>99</v>
      </c>
      <c r="D115"/>
      <c r="E115"/>
      <c r="F115"/>
      <c r="G115"/>
      <c r="H115"/>
      <c r="I115"/>
      <c r="O115" s="5">
        <f>O$71</f>
        <v>0</v>
      </c>
      <c r="P115" s="5">
        <f>P$71</f>
        <v>400</v>
      </c>
      <c r="S115" s="5">
        <f t="shared" si="25"/>
        <v>400</v>
      </c>
    </row>
    <row r="116" spans="3:23" x14ac:dyDescent="0.25">
      <c r="C116" s="11" t="s">
        <v>85</v>
      </c>
      <c r="D116"/>
      <c r="E116"/>
      <c r="F116"/>
      <c r="G116"/>
      <c r="H116"/>
      <c r="I116"/>
      <c r="O116" s="29">
        <f>O$71*O$76</f>
        <v>0</v>
      </c>
      <c r="P116" s="29">
        <f>P$71*P$76</f>
        <v>14000</v>
      </c>
      <c r="S116" s="9">
        <f t="shared" ref="S116:S140" si="27">SUM(D116:R116)</f>
        <v>14000</v>
      </c>
      <c r="T116" s="24">
        <f>S116/S115</f>
        <v>35</v>
      </c>
      <c r="U116" s="111"/>
    </row>
    <row r="117" spans="3:23" x14ac:dyDescent="0.25">
      <c r="C117" t="s">
        <v>100</v>
      </c>
      <c r="D117"/>
      <c r="E117"/>
      <c r="F117"/>
      <c r="G117"/>
      <c r="H117"/>
      <c r="I117"/>
      <c r="Q117" s="5">
        <f>Q$71</f>
        <v>300</v>
      </c>
      <c r="S117" s="5">
        <f t="shared" si="27"/>
        <v>300</v>
      </c>
    </row>
    <row r="118" spans="3:23" x14ac:dyDescent="0.25">
      <c r="C118" s="11" t="s">
        <v>85</v>
      </c>
      <c r="D118"/>
      <c r="E118"/>
      <c r="F118"/>
      <c r="G118"/>
      <c r="H118"/>
      <c r="I118"/>
      <c r="Q118" s="29">
        <f>Q$71*Q$76</f>
        <v>15000</v>
      </c>
      <c r="S118" s="9">
        <f t="shared" si="27"/>
        <v>15000</v>
      </c>
      <c r="T118" s="24">
        <f>S118/S117</f>
        <v>50</v>
      </c>
      <c r="U118" s="111"/>
    </row>
    <row r="119" spans="3:23" x14ac:dyDescent="0.25">
      <c r="C119" s="11" t="s">
        <v>87</v>
      </c>
      <c r="D119"/>
      <c r="E119"/>
      <c r="F119"/>
      <c r="G119"/>
      <c r="H119"/>
      <c r="I119"/>
      <c r="M119" s="29">
        <f>M$71*M$76</f>
        <v>18000</v>
      </c>
      <c r="N119" s="29">
        <f>N$71*N$76</f>
        <v>0</v>
      </c>
      <c r="O119" s="29">
        <f>O$71*O$76</f>
        <v>0</v>
      </c>
      <c r="P119" s="29">
        <f>P$71*P$76</f>
        <v>14000</v>
      </c>
      <c r="Q119" s="29">
        <f>Q$71*Q$76</f>
        <v>15000</v>
      </c>
      <c r="S119" s="9">
        <f t="shared" si="27"/>
        <v>47000</v>
      </c>
      <c r="T119" s="24">
        <f>S119/(S113+S115+S117)</f>
        <v>42.727272727272727</v>
      </c>
      <c r="U119" s="111"/>
    </row>
    <row r="120" spans="3:23" x14ac:dyDescent="0.25">
      <c r="C120" t="s">
        <v>101</v>
      </c>
      <c r="D120"/>
      <c r="E120"/>
      <c r="F120"/>
      <c r="G120"/>
      <c r="H120"/>
      <c r="I120"/>
      <c r="R120" s="5">
        <f>R$71</f>
        <v>300</v>
      </c>
      <c r="S120" s="5">
        <f t="shared" si="27"/>
        <v>300</v>
      </c>
    </row>
    <row r="121" spans="3:23" x14ac:dyDescent="0.25">
      <c r="C121" s="11" t="s">
        <v>85</v>
      </c>
      <c r="D121" s="43"/>
      <c r="E121" s="43"/>
      <c r="F121" s="43"/>
      <c r="G121" s="43"/>
      <c r="H121" s="43"/>
      <c r="I121" s="43"/>
      <c r="J121" s="43"/>
      <c r="K121" s="43"/>
      <c r="L121" s="43"/>
      <c r="M121" s="43"/>
      <c r="N121" s="43"/>
      <c r="O121" s="43"/>
      <c r="P121" s="43"/>
      <c r="Q121" s="43"/>
      <c r="R121" s="45">
        <f>R$71*R$76</f>
        <v>15000</v>
      </c>
      <c r="S121" s="15">
        <f t="shared" si="27"/>
        <v>15000</v>
      </c>
      <c r="T121" s="44">
        <f>S121/S120</f>
        <v>50</v>
      </c>
      <c r="U121" s="111"/>
      <c r="V121" s="40">
        <f>S90+S92+S94+S97+S99+S101+S104+S106+S108+S110+S113+S115+S117+S120</f>
        <v>9015.0000000700002</v>
      </c>
      <c r="W121" s="41"/>
    </row>
    <row r="122" spans="3:23" x14ac:dyDescent="0.25">
      <c r="C122" t="s">
        <v>26</v>
      </c>
      <c r="D122" s="5">
        <f>D$72</f>
        <v>800</v>
      </c>
      <c r="E122" s="5">
        <f>E$72</f>
        <v>210</v>
      </c>
      <c r="F122" s="5">
        <f>F$72</f>
        <v>110</v>
      </c>
      <c r="S122" s="5">
        <f t="shared" si="27"/>
        <v>1120</v>
      </c>
    </row>
    <row r="123" spans="3:23" x14ac:dyDescent="0.25">
      <c r="C123" s="11" t="s">
        <v>86</v>
      </c>
      <c r="D123" s="29">
        <f>D$80</f>
        <v>64000</v>
      </c>
      <c r="E123" s="29">
        <f>E$80</f>
        <v>18700</v>
      </c>
      <c r="F123" s="29">
        <f>F$80</f>
        <v>9900</v>
      </c>
      <c r="S123" s="9">
        <f t="shared" si="27"/>
        <v>92600</v>
      </c>
      <c r="T123" s="24">
        <f>S123/S122</f>
        <v>82.678571428571431</v>
      </c>
      <c r="U123" s="111"/>
    </row>
    <row r="124" spans="3:23" x14ac:dyDescent="0.25">
      <c r="C124" t="s">
        <v>27</v>
      </c>
      <c r="D124"/>
      <c r="E124"/>
      <c r="F124"/>
      <c r="G124" s="5">
        <f>G$72</f>
        <v>85</v>
      </c>
      <c r="H124" s="5">
        <f>H$72</f>
        <v>1000</v>
      </c>
      <c r="I124" s="5">
        <f>I$72</f>
        <v>1000</v>
      </c>
      <c r="J124" s="5">
        <f>J$72</f>
        <v>2010</v>
      </c>
      <c r="S124" s="5">
        <f t="shared" si="27"/>
        <v>4095</v>
      </c>
    </row>
    <row r="125" spans="3:23" x14ac:dyDescent="0.25">
      <c r="C125" s="11" t="s">
        <v>86</v>
      </c>
      <c r="D125"/>
      <c r="E125"/>
      <c r="F125"/>
      <c r="G125" s="29">
        <f>G$80</f>
        <v>4250</v>
      </c>
      <c r="H125" s="29">
        <f>H$80</f>
        <v>39000</v>
      </c>
      <c r="I125" s="29">
        <f>I$80</f>
        <v>40000</v>
      </c>
      <c r="J125" s="29">
        <f>J$80</f>
        <v>140000</v>
      </c>
      <c r="S125" s="9">
        <f t="shared" si="27"/>
        <v>223250</v>
      </c>
      <c r="T125" s="24">
        <f>S125/S124</f>
        <v>54.517704517704516</v>
      </c>
      <c r="U125" s="111"/>
    </row>
    <row r="126" spans="3:23" x14ac:dyDescent="0.25">
      <c r="C126" t="s">
        <v>28</v>
      </c>
      <c r="D126"/>
      <c r="E126"/>
      <c r="F126"/>
      <c r="G126"/>
      <c r="H126"/>
      <c r="I126"/>
      <c r="K126" s="5">
        <f>K$72</f>
        <v>5.9999999999999995E-8</v>
      </c>
      <c r="L126" s="5">
        <f>L$72</f>
        <v>1E-8</v>
      </c>
      <c r="S126" s="5">
        <f t="shared" si="27"/>
        <v>6.9999999999999992E-8</v>
      </c>
    </row>
    <row r="127" spans="3:23" x14ac:dyDescent="0.25">
      <c r="C127" s="11" t="s">
        <v>86</v>
      </c>
      <c r="D127"/>
      <c r="E127"/>
      <c r="F127"/>
      <c r="G127"/>
      <c r="H127"/>
      <c r="I127"/>
      <c r="K127" s="29">
        <f>K$80</f>
        <v>3.8999999999999999E-6</v>
      </c>
      <c r="L127" s="29">
        <f>L$80</f>
        <v>7.5000000000000002E-7</v>
      </c>
      <c r="S127" s="9">
        <f t="shared" si="27"/>
        <v>4.6499999999999995E-6</v>
      </c>
      <c r="T127" s="24">
        <f>S127/S126</f>
        <v>66.428571428571431</v>
      </c>
      <c r="U127" s="111"/>
    </row>
    <row r="128" spans="3:23" x14ac:dyDescent="0.25">
      <c r="C128" t="s">
        <v>29</v>
      </c>
      <c r="D128"/>
      <c r="E128"/>
      <c r="F128"/>
      <c r="G128"/>
      <c r="H128"/>
      <c r="I128"/>
      <c r="M128" s="5">
        <f>M$72</f>
        <v>1600</v>
      </c>
      <c r="N128" s="5">
        <f>N$72</f>
        <v>400</v>
      </c>
      <c r="S128" s="5">
        <f t="shared" si="27"/>
        <v>2000</v>
      </c>
    </row>
    <row r="129" spans="2:24" x14ac:dyDescent="0.25">
      <c r="C129" s="11" t="s">
        <v>86</v>
      </c>
      <c r="D129"/>
      <c r="E129"/>
      <c r="F129"/>
      <c r="G129"/>
      <c r="H129"/>
      <c r="I129"/>
      <c r="M129" s="29">
        <f>M$80</f>
        <v>112500</v>
      </c>
      <c r="N129" s="29">
        <f>N$80</f>
        <v>24000</v>
      </c>
      <c r="S129" s="9">
        <f t="shared" si="27"/>
        <v>136500</v>
      </c>
      <c r="T129" s="24">
        <f>S129/S128</f>
        <v>68.25</v>
      </c>
      <c r="U129" s="111"/>
    </row>
    <row r="130" spans="2:24" x14ac:dyDescent="0.25">
      <c r="C130" t="s">
        <v>30</v>
      </c>
      <c r="D130"/>
      <c r="E130"/>
      <c r="F130"/>
      <c r="G130"/>
      <c r="H130"/>
      <c r="I130"/>
      <c r="O130" s="5">
        <f>O$72</f>
        <v>400</v>
      </c>
      <c r="P130" s="5">
        <f>P$72</f>
        <v>800</v>
      </c>
      <c r="S130" s="5">
        <f t="shared" si="27"/>
        <v>1200</v>
      </c>
    </row>
    <row r="131" spans="2:24" x14ac:dyDescent="0.25">
      <c r="C131" s="11" t="s">
        <v>86</v>
      </c>
      <c r="D131"/>
      <c r="E131"/>
      <c r="F131"/>
      <c r="G131"/>
      <c r="H131"/>
      <c r="I131"/>
      <c r="O131" s="29">
        <f>O$80</f>
        <v>24000</v>
      </c>
      <c r="P131" s="29">
        <f>P$80</f>
        <v>48000</v>
      </c>
      <c r="S131" s="9">
        <f t="shared" si="27"/>
        <v>72000</v>
      </c>
      <c r="T131" s="24">
        <f>S131/S130</f>
        <v>60</v>
      </c>
      <c r="U131" s="111"/>
    </row>
    <row r="132" spans="2:24" x14ac:dyDescent="0.25">
      <c r="C132" t="s">
        <v>31</v>
      </c>
      <c r="D132"/>
      <c r="E132"/>
      <c r="F132"/>
      <c r="G132"/>
      <c r="H132"/>
      <c r="I132"/>
      <c r="Q132" s="5">
        <f>Q$72</f>
        <v>300</v>
      </c>
      <c r="S132" s="5">
        <f t="shared" si="27"/>
        <v>300</v>
      </c>
    </row>
    <row r="133" spans="2:24" x14ac:dyDescent="0.25">
      <c r="C133" s="11" t="s">
        <v>86</v>
      </c>
      <c r="D133"/>
      <c r="E133"/>
      <c r="F133"/>
      <c r="G133"/>
      <c r="H133"/>
      <c r="I133"/>
      <c r="Q133" s="29">
        <f>Q$80</f>
        <v>28000</v>
      </c>
      <c r="S133" s="9">
        <f t="shared" si="27"/>
        <v>28000</v>
      </c>
      <c r="T133" s="24">
        <f>S133/S132</f>
        <v>93.333333333333329</v>
      </c>
      <c r="U133" s="111"/>
    </row>
    <row r="134" spans="2:24" x14ac:dyDescent="0.25">
      <c r="C134" t="s">
        <v>32</v>
      </c>
      <c r="D134"/>
      <c r="E134"/>
      <c r="F134"/>
      <c r="G134"/>
      <c r="H134"/>
      <c r="I134"/>
      <c r="R134" s="5">
        <f>R$72</f>
        <v>300</v>
      </c>
      <c r="S134" s="5">
        <f t="shared" si="27"/>
        <v>300</v>
      </c>
    </row>
    <row r="135" spans="2:24" x14ac:dyDescent="0.25">
      <c r="C135" s="11" t="s">
        <v>86</v>
      </c>
      <c r="D135" s="43"/>
      <c r="E135" s="43"/>
      <c r="F135" s="43"/>
      <c r="G135" s="43"/>
      <c r="H135" s="43"/>
      <c r="I135" s="43"/>
      <c r="J135" s="43"/>
      <c r="K135" s="43"/>
      <c r="L135" s="43"/>
      <c r="M135" s="43"/>
      <c r="N135" s="43"/>
      <c r="O135" s="43"/>
      <c r="P135" s="43"/>
      <c r="Q135" s="43"/>
      <c r="R135" s="45">
        <f>R$80</f>
        <v>30000</v>
      </c>
      <c r="S135" s="15">
        <f t="shared" si="27"/>
        <v>30000</v>
      </c>
      <c r="T135" s="44">
        <f>S135/S134</f>
        <v>100</v>
      </c>
      <c r="U135" s="111"/>
      <c r="V135" s="40">
        <f>S122+S124+S126+S128+S130+S132+S134</f>
        <v>9015.0000000700002</v>
      </c>
      <c r="W135" s="41"/>
    </row>
    <row r="136" spans="2:24" x14ac:dyDescent="0.25">
      <c r="C136" t="s">
        <v>33</v>
      </c>
      <c r="D136" s="5">
        <f>D$72</f>
        <v>800</v>
      </c>
      <c r="E136" s="5">
        <f>E$72</f>
        <v>210</v>
      </c>
      <c r="F136" s="5">
        <f>F$72</f>
        <v>110</v>
      </c>
      <c r="I136"/>
      <c r="S136" s="5">
        <f t="shared" si="27"/>
        <v>1120</v>
      </c>
    </row>
    <row r="137" spans="2:24" x14ac:dyDescent="0.25">
      <c r="C137" t="s">
        <v>34</v>
      </c>
      <c r="D137"/>
      <c r="E137"/>
      <c r="F137"/>
      <c r="G137" s="5">
        <f>G$72</f>
        <v>85</v>
      </c>
      <c r="H137" s="5">
        <f>H$72</f>
        <v>1000</v>
      </c>
      <c r="I137"/>
      <c r="S137" s="5">
        <f t="shared" si="27"/>
        <v>1085</v>
      </c>
    </row>
    <row r="138" spans="2:24" x14ac:dyDescent="0.25">
      <c r="C138" s="11" t="s">
        <v>86</v>
      </c>
      <c r="D138"/>
      <c r="E138"/>
      <c r="F138"/>
      <c r="G138" s="29">
        <f>G$80</f>
        <v>4250</v>
      </c>
      <c r="H138" s="29">
        <f>H$80</f>
        <v>39000</v>
      </c>
      <c r="I138"/>
      <c r="S138" s="9">
        <f t="shared" si="27"/>
        <v>43250</v>
      </c>
      <c r="T138" s="24">
        <f>S138/S137</f>
        <v>39.86175115207373</v>
      </c>
      <c r="U138" s="111"/>
    </row>
    <row r="139" spans="2:24" x14ac:dyDescent="0.25">
      <c r="C139" t="s">
        <v>35</v>
      </c>
      <c r="D139"/>
      <c r="E139"/>
      <c r="F139"/>
      <c r="G139"/>
      <c r="H139"/>
      <c r="I139"/>
      <c r="K139" s="5">
        <f>K$72</f>
        <v>5.9999999999999995E-8</v>
      </c>
      <c r="L139" s="5">
        <f>L$72</f>
        <v>1E-8</v>
      </c>
      <c r="S139" s="5">
        <f t="shared" si="27"/>
        <v>6.9999999999999992E-8</v>
      </c>
    </row>
    <row r="140" spans="2:24" x14ac:dyDescent="0.25">
      <c r="C140" t="s">
        <v>36</v>
      </c>
      <c r="D140" s="43"/>
      <c r="E140" s="43"/>
      <c r="F140" s="43"/>
      <c r="G140" s="43"/>
      <c r="H140" s="43"/>
      <c r="I140" s="43"/>
      <c r="J140" s="43"/>
      <c r="K140" s="43"/>
      <c r="L140" s="43"/>
      <c r="M140" s="43"/>
      <c r="N140" s="43"/>
      <c r="O140" s="47">
        <f>O$72</f>
        <v>400</v>
      </c>
      <c r="P140" s="47">
        <f>P$72</f>
        <v>800</v>
      </c>
      <c r="Q140" s="43"/>
      <c r="R140" s="43"/>
      <c r="S140" s="47">
        <f t="shared" si="27"/>
        <v>1200</v>
      </c>
    </row>
    <row r="141" spans="2:24" ht="14.4" thickBot="1" x14ac:dyDescent="0.3">
      <c r="D141"/>
      <c r="E141"/>
      <c r="F141"/>
      <c r="G141"/>
      <c r="H141"/>
      <c r="I141"/>
    </row>
    <row r="142" spans="2:24" x14ac:dyDescent="0.25">
      <c r="B142" s="66"/>
      <c r="C142" s="73"/>
      <c r="D142" s="73"/>
      <c r="E142" s="73"/>
      <c r="F142" s="73"/>
      <c r="G142" s="73"/>
      <c r="H142" s="73"/>
      <c r="I142" s="73"/>
      <c r="J142" s="73"/>
      <c r="K142" s="73"/>
      <c r="L142" s="73"/>
      <c r="M142" s="73"/>
      <c r="N142" s="73"/>
      <c r="O142" s="73"/>
      <c r="P142" s="73"/>
      <c r="Q142" s="73"/>
      <c r="R142" s="73"/>
      <c r="S142" s="73"/>
      <c r="T142" s="73"/>
      <c r="U142" s="67"/>
    </row>
    <row r="143" spans="2:24" x14ac:dyDescent="0.25">
      <c r="B143" s="76"/>
      <c r="C143" s="2" t="s">
        <v>103</v>
      </c>
      <c r="D143"/>
      <c r="E143"/>
      <c r="F143"/>
      <c r="G143"/>
      <c r="H143"/>
      <c r="I143"/>
      <c r="S143" s="124">
        <f>S24-S81</f>
        <v>189780.00002795493</v>
      </c>
      <c r="U143" s="74"/>
      <c r="X143" s="27"/>
    </row>
    <row r="144" spans="2:24" x14ac:dyDescent="0.25">
      <c r="B144" s="76"/>
      <c r="D144"/>
      <c r="E144"/>
      <c r="F144"/>
      <c r="G144"/>
      <c r="H144"/>
      <c r="I144"/>
      <c r="U144" s="74"/>
    </row>
    <row r="145" spans="2:23" x14ac:dyDescent="0.25">
      <c r="B145" s="76"/>
      <c r="C145" t="s">
        <v>104</v>
      </c>
      <c r="E145" s="23"/>
      <c r="S145" s="29">
        <f>(S15-S72)*T81</f>
        <v>49790.269018932675</v>
      </c>
      <c r="U145" s="74"/>
    </row>
    <row r="146" spans="2:23" x14ac:dyDescent="0.25">
      <c r="B146" s="76"/>
      <c r="U146" s="74"/>
    </row>
    <row r="147" spans="2:23" x14ac:dyDescent="0.25">
      <c r="B147" s="76"/>
      <c r="C147" t="s">
        <v>45</v>
      </c>
      <c r="S147" s="29">
        <f>T85*(S27/S15-S84/S72)*S15+T87*(S29/S15-S86/S72)*S15+T89*(S31/S15-S88/S72)*S15</f>
        <v>102123.35193082242</v>
      </c>
      <c r="U147" s="74"/>
      <c r="V147" s="57" t="e">
        <f>#REF!</f>
        <v>#REF!</v>
      </c>
    </row>
    <row r="148" spans="2:23" x14ac:dyDescent="0.25">
      <c r="B148" s="76"/>
      <c r="U148" s="74"/>
      <c r="V148" s="6"/>
    </row>
    <row r="149" spans="2:23" x14ac:dyDescent="0.25">
      <c r="B149" s="76"/>
      <c r="C149" t="s">
        <v>105</v>
      </c>
      <c r="D149" s="9">
        <f t="shared" ref="D149:J149" si="28">D75*(D13/$S27-D70/$S84)*$S27+D76*(D14/$S27-D71/$S84)*$S27</f>
        <v>-1664.2411647733886</v>
      </c>
      <c r="E149" s="9">
        <f t="shared" si="28"/>
        <v>-2485.8004126897818</v>
      </c>
      <c r="F149" s="9">
        <f t="shared" si="28"/>
        <v>-1596.1053341080321</v>
      </c>
      <c r="G149" s="9">
        <f t="shared" si="28"/>
        <v>5901.732501657104</v>
      </c>
      <c r="H149" s="9">
        <f t="shared" si="28"/>
        <v>726.26472537768484</v>
      </c>
      <c r="I149" s="9">
        <f t="shared" si="28"/>
        <v>-11273.735274622315</v>
      </c>
      <c r="J149" s="9">
        <f t="shared" si="28"/>
        <v>-2700.2079019908515</v>
      </c>
      <c r="K149" s="9">
        <f>K75*(K13/$S29-K70/$S86)*$S29+K76*(K14/$S29-K71/$S86)*$S29</f>
        <v>11399.9999983375</v>
      </c>
      <c r="L149" s="9">
        <f>L75*(L13/$S29-L70/$S86)*$S29+L76*(L14/$S29-L71/$S86)*$S29</f>
        <v>1999.9999997083332</v>
      </c>
      <c r="M149" s="9">
        <f>M75*(M13/$S27-M70/$S84)*$S27+M76*(M14/$S27-M71/$S84)*$S27</f>
        <v>14178.794176133051</v>
      </c>
      <c r="N149" s="9">
        <f>N75*(N13/$S27-N70/$S84)*$S27+N76*(N14/$S27-N71/$S84)*$S27</f>
        <v>12058.385307764382</v>
      </c>
      <c r="O149" s="9">
        <f>O75*(O13/$S29-O70/$S86)*$S29+O76*(O14/$S29-O71/$S86)*$S29</f>
        <v>2000.0000010208321</v>
      </c>
      <c r="P149" s="9">
        <f>P75*(P13/$S29-P70/$S86)*$S29+P76*(P14/$S29-P71/$S86)*$S29</f>
        <v>-25416.666664454864</v>
      </c>
      <c r="Q149" s="9">
        <f>Q75*(Q13/$S31-Q70/$S88)*$S31+Q76*(Q14/$S31-Q71/$S88)*$S31</f>
        <v>17500.000000000004</v>
      </c>
      <c r="R149" s="9">
        <f>R75*(R13/$S31-R70/$S88)*$S31+R76*(R14/$S31-R71/$S88)*$S31</f>
        <v>-17500.000000000004</v>
      </c>
      <c r="S149" s="9">
        <f>SUM(D149:R149)</f>
        <v>3128.4199573596525</v>
      </c>
      <c r="U149" s="74"/>
      <c r="V149" s="6"/>
    </row>
    <row r="150" spans="2:23" x14ac:dyDescent="0.25">
      <c r="B150" s="76"/>
      <c r="C150" t="s">
        <v>106</v>
      </c>
      <c r="D150" s="9">
        <f>$T123*(D15/$S27-D72/$S84)*$S27</f>
        <v>-9173.1388010723695</v>
      </c>
      <c r="E150" s="9">
        <f>$T123*(E15/$S27-E72/$S84)*$S27</f>
        <v>-13259.511417918997</v>
      </c>
      <c r="F150" s="9">
        <f>$T123*(F15/$S27-F72/$S84)*$S27</f>
        <v>-6945.4583617670942</v>
      </c>
      <c r="G150" s="9">
        <f>$T125*(G15/$S27-G72/$S84)*$S27</f>
        <v>16087.445433393752</v>
      </c>
      <c r="H150" s="9">
        <f>$T125*(H15/$S27-H72/$S84)*$S27</f>
        <v>1979.714284988622</v>
      </c>
      <c r="I150" s="9">
        <f>$T125*(I15/$S27-I72/$S84)*$S27</f>
        <v>-30730.908425634087</v>
      </c>
      <c r="J150" s="9">
        <f>$T125*(J15/$S27-J72/$S84)*$S27</f>
        <v>-7360.4568268554094</v>
      </c>
      <c r="K150" s="9">
        <f>$T127*(K15/$S29-K72/$S86)*$S29</f>
        <v>39857.142851330362</v>
      </c>
      <c r="L150" s="9">
        <f>$T127*(L15/$S29-L72/$S86)*$S29</f>
        <v>6642.8571418883921</v>
      </c>
      <c r="M150" s="9">
        <f>$T129*(M15/$S27-M72/$S84)*$S27</f>
        <v>25805.405400562151</v>
      </c>
      <c r="N150" s="9">
        <f>$T129*(N15/$S27-N72/$S84)*$S27</f>
        <v>23513.851350140543</v>
      </c>
      <c r="O150" s="9">
        <f>$T131*(O15/$S29-O72/$S86)*$S29</f>
        <v>4000.0000020416642</v>
      </c>
      <c r="P150" s="9">
        <f>$T131*(P15/$S29-P72/$S86)*$S29</f>
        <v>-45999.999995916674</v>
      </c>
      <c r="Q150" s="9">
        <f>Q77*(Q15/$S31-Q72/$S88)*$S31</f>
        <v>32666.666666666668</v>
      </c>
      <c r="R150" s="9">
        <f>R77*(R15/$S31-R72/$S88)*$S31</f>
        <v>-35000.000000000007</v>
      </c>
      <c r="S150" s="9">
        <f>SUM(D150:R150)</f>
        <v>2083.6093018475149</v>
      </c>
      <c r="U150" s="74"/>
      <c r="V150" s="57" t="e">
        <f>#REF!</f>
        <v>#REF!</v>
      </c>
    </row>
    <row r="151" spans="2:23" x14ac:dyDescent="0.25">
      <c r="B151" s="76"/>
      <c r="C151" t="s">
        <v>107</v>
      </c>
      <c r="D151"/>
      <c r="E151"/>
      <c r="F151"/>
      <c r="G151" s="9">
        <f>$T138*(G15/$S50-G72/$S124)*$S50</f>
        <v>12066.575513580121</v>
      </c>
      <c r="H151" s="9">
        <f>$T138*(H15/$S50-H72/$S124)*$S50</f>
        <v>5022.8726726422592</v>
      </c>
      <c r="I151" s="9">
        <f>I77*(I15/$S50-I72/$S124)*$S50</f>
        <v>-18959.706959706957</v>
      </c>
      <c r="J151" s="9">
        <f>J77*(J15/$S50-J72/$S124)*$S50</f>
        <v>3153.4634519709252</v>
      </c>
      <c r="M151" s="9">
        <f>M77*(M15/$S52-M72/$S128)*$S52</f>
        <v>-14062.500000000002</v>
      </c>
      <c r="N151" s="9">
        <f>N77*(N15/$S52-N72/$S128)*$S52</f>
        <v>11999.999999999995</v>
      </c>
      <c r="S151" s="9">
        <f>SUM(D151:R151)</f>
        <v>-779.29532151365856</v>
      </c>
      <c r="U151" s="74"/>
      <c r="V151" s="57" t="e">
        <f>#REF!</f>
        <v>#REF!</v>
      </c>
    </row>
    <row r="152" spans="2:23" x14ac:dyDescent="0.25">
      <c r="B152" s="76"/>
      <c r="C152" t="s">
        <v>108</v>
      </c>
      <c r="D152" s="15">
        <f>D77*(D15/$S56-D72/$S136)*$S56</f>
        <v>11428.571410285715</v>
      </c>
      <c r="E152" s="15">
        <f>E77*(E15/$S56-E72/$S136)*$S56</f>
        <v>-8348.2142723571415</v>
      </c>
      <c r="F152" s="15">
        <f>F77*(F15/$S56-F72/$S136)*$S56</f>
        <v>-4419.6428500714283</v>
      </c>
      <c r="G152" s="15">
        <f>G77*(G15/$S57-G72/$S137)*$S57</f>
        <v>13456.221198156683</v>
      </c>
      <c r="H152" s="15">
        <f>H77*(H15/$S57-H72/$S137)*$S57</f>
        <v>-10495.852534562211</v>
      </c>
      <c r="I152" s="37"/>
      <c r="J152" s="43"/>
      <c r="K152" s="15">
        <f>K77*(K15/$S58-K72/$S139)*$S58</f>
        <v>-5.0515147620444623E-12</v>
      </c>
      <c r="L152" s="15">
        <f>L77*(L15/$S58-L72/$S139)*$S58</f>
        <v>-1.457167719820518E-12</v>
      </c>
      <c r="M152" s="43"/>
      <c r="N152" s="43"/>
      <c r="O152" s="15">
        <f>O77*(O15/$S59-O72/$S140)*$S59</f>
        <v>18000.000000000004</v>
      </c>
      <c r="P152" s="15">
        <f>P77*(P15/$S59-P72/$S140)*$S59</f>
        <v>-18000</v>
      </c>
      <c r="Q152" s="43"/>
      <c r="R152" s="43"/>
      <c r="S152" s="9">
        <f>SUM(D152:R152)</f>
        <v>1621.0829514516154</v>
      </c>
      <c r="U152" s="74"/>
      <c r="V152" s="57" t="e">
        <f>#REF!</f>
        <v>#REF!</v>
      </c>
    </row>
    <row r="153" spans="2:23" x14ac:dyDescent="0.25">
      <c r="B153" s="76"/>
      <c r="D153" s="9">
        <f t="shared" ref="D153:R153" si="29">SUM(D149:D152)</f>
        <v>591.19144443995719</v>
      </c>
      <c r="E153" s="9">
        <f t="shared" si="29"/>
        <v>-24093.52610296592</v>
      </c>
      <c r="F153" s="9">
        <f t="shared" si="29"/>
        <v>-12961.206545946554</v>
      </c>
      <c r="G153" s="9">
        <f t="shared" si="29"/>
        <v>47511.974646787654</v>
      </c>
      <c r="H153" s="9">
        <f t="shared" si="29"/>
        <v>-2767.0008515536447</v>
      </c>
      <c r="I153" s="9">
        <f t="shared" si="29"/>
        <v>-60964.350659963362</v>
      </c>
      <c r="J153" s="9">
        <f t="shared" si="29"/>
        <v>-6907.2012768753357</v>
      </c>
      <c r="K153" s="9">
        <f t="shared" si="29"/>
        <v>51257.142849667856</v>
      </c>
      <c r="L153" s="9">
        <f t="shared" si="29"/>
        <v>8642.8571415967235</v>
      </c>
      <c r="M153" s="9">
        <f t="shared" si="29"/>
        <v>25921.699576695202</v>
      </c>
      <c r="N153" s="9">
        <f t="shared" si="29"/>
        <v>47572.236657904919</v>
      </c>
      <c r="O153" s="9">
        <f t="shared" si="29"/>
        <v>24000.000003062501</v>
      </c>
      <c r="P153" s="9">
        <f t="shared" si="29"/>
        <v>-89416.666660371542</v>
      </c>
      <c r="Q153" s="9">
        <f t="shared" si="29"/>
        <v>50166.666666666672</v>
      </c>
      <c r="R153" s="9">
        <f t="shared" si="29"/>
        <v>-52500.000000000015</v>
      </c>
      <c r="U153" s="74"/>
      <c r="V153" s="52">
        <f>SUM(D153:R153)</f>
        <v>6053.816889145106</v>
      </c>
      <c r="W153" s="52">
        <f>SUM(S149:S152)</f>
        <v>6053.8168891451242</v>
      </c>
    </row>
    <row r="154" spans="2:23" x14ac:dyDescent="0.25">
      <c r="B154" s="76"/>
      <c r="U154" s="74"/>
    </row>
    <row r="155" spans="2:23" x14ac:dyDescent="0.25">
      <c r="B155" s="76"/>
      <c r="D155"/>
      <c r="E155"/>
      <c r="F155"/>
      <c r="G155"/>
      <c r="H155"/>
      <c r="I155"/>
      <c r="U155" s="74"/>
    </row>
    <row r="156" spans="2:23" x14ac:dyDescent="0.25">
      <c r="B156" s="76"/>
      <c r="C156" t="s">
        <v>46</v>
      </c>
      <c r="D156" s="9">
        <f t="shared" ref="D156:R156" si="30">(D18-D75)*D13+(D19-D76)*D14</f>
        <v>500</v>
      </c>
      <c r="E156" s="9">
        <f t="shared" si="30"/>
        <v>0</v>
      </c>
      <c r="F156" s="9">
        <f t="shared" si="30"/>
        <v>0</v>
      </c>
      <c r="G156" s="9">
        <f t="shared" si="30"/>
        <v>360</v>
      </c>
      <c r="H156" s="9">
        <f t="shared" si="30"/>
        <v>-200</v>
      </c>
      <c r="I156" s="9">
        <f t="shared" si="30"/>
        <v>0</v>
      </c>
      <c r="J156" s="9">
        <f t="shared" si="30"/>
        <v>0</v>
      </c>
      <c r="K156" s="9">
        <f t="shared" si="30"/>
        <v>0</v>
      </c>
      <c r="L156" s="9">
        <f t="shared" si="30"/>
        <v>0</v>
      </c>
      <c r="M156" s="9">
        <f t="shared" si="30"/>
        <v>-2000</v>
      </c>
      <c r="N156" s="9">
        <f t="shared" si="30"/>
        <v>650</v>
      </c>
      <c r="O156" s="9">
        <f t="shared" si="30"/>
        <v>1300</v>
      </c>
      <c r="P156" s="9">
        <f t="shared" si="30"/>
        <v>200</v>
      </c>
      <c r="Q156" s="9">
        <f t="shared" si="30"/>
        <v>3000</v>
      </c>
      <c r="R156" s="9">
        <f t="shared" si="30"/>
        <v>2400</v>
      </c>
      <c r="S156" s="9">
        <f>SUM(D156:R156)</f>
        <v>6210</v>
      </c>
      <c r="U156" s="74"/>
    </row>
    <row r="157" spans="2:23" x14ac:dyDescent="0.25">
      <c r="B157" s="76"/>
      <c r="C157" t="s">
        <v>109</v>
      </c>
      <c r="D157" s="9">
        <f t="shared" ref="D157:R157" si="31">(D16-D73)*D11</f>
        <v>1500</v>
      </c>
      <c r="E157" s="9">
        <f t="shared" si="31"/>
        <v>0</v>
      </c>
      <c r="F157" s="9">
        <f t="shared" si="31"/>
        <v>0</v>
      </c>
      <c r="G157" s="9">
        <f t="shared" si="31"/>
        <v>640</v>
      </c>
      <c r="H157" s="9">
        <f t="shared" si="31"/>
        <v>1000</v>
      </c>
      <c r="I157" s="9">
        <f t="shared" si="31"/>
        <v>240</v>
      </c>
      <c r="J157" s="9">
        <f t="shared" si="31"/>
        <v>2940</v>
      </c>
      <c r="K157" s="9">
        <f t="shared" si="31"/>
        <v>0</v>
      </c>
      <c r="L157" s="9">
        <f t="shared" si="31"/>
        <v>0</v>
      </c>
      <c r="M157" s="9">
        <f t="shared" si="31"/>
        <v>3375</v>
      </c>
      <c r="N157" s="9">
        <f t="shared" si="31"/>
        <v>800</v>
      </c>
      <c r="O157" s="9">
        <f t="shared" si="31"/>
        <v>800</v>
      </c>
      <c r="P157" s="9">
        <f t="shared" si="31"/>
        <v>720</v>
      </c>
      <c r="Q157" s="9">
        <f t="shared" si="31"/>
        <v>6000</v>
      </c>
      <c r="R157" s="9">
        <f t="shared" si="31"/>
        <v>2250</v>
      </c>
      <c r="S157" s="9">
        <f>SUM(D157:R157)</f>
        <v>20265</v>
      </c>
      <c r="U157" s="74"/>
    </row>
    <row r="158" spans="2:23" x14ac:dyDescent="0.25">
      <c r="B158" s="76"/>
      <c r="C158" t="s">
        <v>110</v>
      </c>
      <c r="D158" s="15">
        <f t="shared" ref="D158:R158" si="32">(D11-(D15/D72*D68))*D73</f>
        <v>0</v>
      </c>
      <c r="E158" s="15">
        <f t="shared" si="32"/>
        <v>-2.8124140826802941E-21</v>
      </c>
      <c r="F158" s="15">
        <f t="shared" si="32"/>
        <v>-1.3648480107124957E-21</v>
      </c>
      <c r="G158" s="15">
        <f t="shared" si="32"/>
        <v>3250</v>
      </c>
      <c r="H158" s="15">
        <f t="shared" si="32"/>
        <v>7800</v>
      </c>
      <c r="I158" s="15">
        <f t="shared" si="32"/>
        <v>0</v>
      </c>
      <c r="J158" s="15">
        <f t="shared" si="32"/>
        <v>487.56218905472508</v>
      </c>
      <c r="K158" s="15">
        <f t="shared" si="32"/>
        <v>0</v>
      </c>
      <c r="L158" s="15">
        <f t="shared" si="32"/>
        <v>0</v>
      </c>
      <c r="M158" s="15">
        <f t="shared" si="32"/>
        <v>0</v>
      </c>
      <c r="N158" s="15">
        <f t="shared" si="32"/>
        <v>-600</v>
      </c>
      <c r="O158" s="15">
        <f t="shared" si="32"/>
        <v>-600</v>
      </c>
      <c r="P158" s="15">
        <f t="shared" si="32"/>
        <v>0</v>
      </c>
      <c r="Q158" s="15">
        <f t="shared" si="32"/>
        <v>0</v>
      </c>
      <c r="R158" s="15">
        <f t="shared" si="32"/>
        <v>-4999.9999999999955</v>
      </c>
      <c r="S158" s="9">
        <f>SUM(D158:R158)</f>
        <v>5337.5621890547291</v>
      </c>
      <c r="U158" s="74"/>
    </row>
    <row r="159" spans="2:23" x14ac:dyDescent="0.25">
      <c r="B159" s="76"/>
      <c r="D159" s="9">
        <f t="shared" ref="D159:R159" si="33">SUM(D156:D158)</f>
        <v>2000</v>
      </c>
      <c r="E159" s="9">
        <f t="shared" si="33"/>
        <v>-2.8124140826802941E-21</v>
      </c>
      <c r="F159" s="9">
        <f t="shared" si="33"/>
        <v>-1.3648480107124957E-21</v>
      </c>
      <c r="G159" s="9">
        <f t="shared" si="33"/>
        <v>4250</v>
      </c>
      <c r="H159" s="9">
        <f t="shared" si="33"/>
        <v>8600</v>
      </c>
      <c r="I159" s="9">
        <f t="shared" si="33"/>
        <v>240</v>
      </c>
      <c r="J159" s="9">
        <f t="shared" si="33"/>
        <v>3427.562189054725</v>
      </c>
      <c r="K159" s="9">
        <f t="shared" si="33"/>
        <v>0</v>
      </c>
      <c r="L159" s="9">
        <f t="shared" si="33"/>
        <v>0</v>
      </c>
      <c r="M159" s="9">
        <f t="shared" si="33"/>
        <v>1375</v>
      </c>
      <c r="N159" s="9">
        <f t="shared" si="33"/>
        <v>850</v>
      </c>
      <c r="O159" s="9">
        <f t="shared" si="33"/>
        <v>1500</v>
      </c>
      <c r="P159" s="9">
        <f t="shared" si="33"/>
        <v>920</v>
      </c>
      <c r="Q159" s="9">
        <f t="shared" si="33"/>
        <v>9000</v>
      </c>
      <c r="R159" s="9">
        <f t="shared" si="33"/>
        <v>-349.99999999999545</v>
      </c>
      <c r="U159" s="74"/>
      <c r="V159" s="52">
        <f>SUM(D159:R159)</f>
        <v>31812.56218905473</v>
      </c>
      <c r="W159" s="52">
        <f>SUM(S156:S158)</f>
        <v>31812.56218905473</v>
      </c>
    </row>
    <row r="160" spans="2:23" ht="14.4" thickBot="1" x14ac:dyDescent="0.3">
      <c r="B160" s="69"/>
      <c r="C160" s="95"/>
      <c r="D160" s="112"/>
      <c r="E160" s="112"/>
      <c r="F160" s="112"/>
      <c r="G160" s="112"/>
      <c r="H160" s="112"/>
      <c r="I160" s="112"/>
      <c r="J160" s="95"/>
      <c r="K160" s="95"/>
      <c r="L160" s="95"/>
      <c r="M160" s="95"/>
      <c r="N160" s="95"/>
      <c r="O160" s="95"/>
      <c r="P160" s="95"/>
      <c r="Q160" s="95"/>
      <c r="R160" s="95"/>
      <c r="S160" s="85">
        <f>SUM(S145:S158)</f>
        <v>189780.00002795496</v>
      </c>
      <c r="T160" s="95"/>
      <c r="U160" s="70"/>
      <c r="V160" s="57">
        <f>S143-S160</f>
        <v>0</v>
      </c>
    </row>
    <row r="161" spans="3:22" x14ac:dyDescent="0.25">
      <c r="S161" s="130"/>
      <c r="V161" s="131"/>
    </row>
    <row r="162" spans="3:22" x14ac:dyDescent="0.25">
      <c r="C162" s="59" t="s">
        <v>111</v>
      </c>
      <c r="D162" s="27"/>
      <c r="E162"/>
      <c r="F162"/>
      <c r="G162"/>
      <c r="H162"/>
      <c r="I162"/>
    </row>
    <row r="163" spans="3:22" x14ac:dyDescent="0.25">
      <c r="C163" s="177" t="s">
        <v>281</v>
      </c>
      <c r="D163" s="9">
        <f t="shared" ref="D163:R163" si="34">(D11-(D15/(D72/D68)))*(D77*(D72/D68))</f>
        <v>0</v>
      </c>
      <c r="E163" s="9">
        <f t="shared" si="34"/>
        <v>-2.8124140826802941E-21</v>
      </c>
      <c r="F163" s="9">
        <f t="shared" si="34"/>
        <v>-1.3648480107124957E-21</v>
      </c>
      <c r="G163" s="9">
        <f t="shared" si="34"/>
        <v>3250</v>
      </c>
      <c r="H163" s="9">
        <f t="shared" si="34"/>
        <v>7800</v>
      </c>
      <c r="I163" s="9">
        <f t="shared" si="34"/>
        <v>0</v>
      </c>
      <c r="J163" s="9">
        <f t="shared" si="34"/>
        <v>487.56218905472514</v>
      </c>
      <c r="K163" s="9">
        <f t="shared" si="34"/>
        <v>0</v>
      </c>
      <c r="L163" s="9">
        <f t="shared" si="34"/>
        <v>0</v>
      </c>
      <c r="M163" s="9">
        <f t="shared" si="34"/>
        <v>0</v>
      </c>
      <c r="N163" s="9">
        <f t="shared" si="34"/>
        <v>-600</v>
      </c>
      <c r="O163" s="9">
        <f t="shared" si="34"/>
        <v>-600</v>
      </c>
      <c r="P163" s="9">
        <f t="shared" si="34"/>
        <v>0</v>
      </c>
      <c r="Q163" s="9">
        <f t="shared" si="34"/>
        <v>0</v>
      </c>
      <c r="R163" s="9">
        <f t="shared" si="34"/>
        <v>-4999.9999999999955</v>
      </c>
      <c r="S163" s="9">
        <f>SUM(D163:R163)</f>
        <v>5337.5621890547291</v>
      </c>
      <c r="V163" s="51">
        <f>S158</f>
        <v>5337.5621890547291</v>
      </c>
    </row>
    <row r="164" spans="3:22" x14ac:dyDescent="0.25">
      <c r="C164" s="177" t="s">
        <v>112</v>
      </c>
      <c r="D164" s="38">
        <f t="shared" ref="D164:R164" si="35">D15/D11</f>
        <v>20</v>
      </c>
      <c r="E164" s="38">
        <f t="shared" si="35"/>
        <v>19.090909090909093</v>
      </c>
      <c r="F164" s="38">
        <f t="shared" si="35"/>
        <v>18.333333333333336</v>
      </c>
      <c r="G164" s="38">
        <f t="shared" si="35"/>
        <v>72</v>
      </c>
      <c r="H164" s="38">
        <f t="shared" si="35"/>
        <v>80</v>
      </c>
      <c r="I164" s="38">
        <f t="shared" si="35"/>
        <v>200</v>
      </c>
      <c r="J164" s="38">
        <f t="shared" si="35"/>
        <v>20</v>
      </c>
      <c r="K164" s="38">
        <f t="shared" si="35"/>
        <v>20</v>
      </c>
      <c r="L164" s="38">
        <f t="shared" si="35"/>
        <v>25</v>
      </c>
      <c r="M164" s="38">
        <f t="shared" si="35"/>
        <v>21.333333333333332</v>
      </c>
      <c r="N164" s="38">
        <f t="shared" si="35"/>
        <v>81.25</v>
      </c>
      <c r="O164" s="38">
        <f t="shared" si="35"/>
        <v>81.25</v>
      </c>
      <c r="P164" s="38">
        <f t="shared" si="35"/>
        <v>80</v>
      </c>
      <c r="Q164" s="38">
        <f t="shared" si="35"/>
        <v>75</v>
      </c>
      <c r="R164" s="38">
        <f t="shared" si="35"/>
        <v>80</v>
      </c>
      <c r="S164" s="33"/>
    </row>
    <row r="165" spans="3:22" x14ac:dyDescent="0.25">
      <c r="C165" s="177" t="s">
        <v>113</v>
      </c>
      <c r="D165" s="38">
        <f t="shared" ref="D165:R165" si="36">D72/D68</f>
        <v>20</v>
      </c>
      <c r="E165" s="38">
        <f t="shared" si="36"/>
        <v>19.09090909090909</v>
      </c>
      <c r="F165" s="38">
        <f t="shared" si="36"/>
        <v>18.333333333333332</v>
      </c>
      <c r="G165" s="38">
        <f t="shared" si="36"/>
        <v>85</v>
      </c>
      <c r="H165" s="38">
        <f t="shared" si="36"/>
        <v>100</v>
      </c>
      <c r="I165" s="38">
        <f t="shared" si="36"/>
        <v>200</v>
      </c>
      <c r="J165" s="38">
        <f t="shared" si="36"/>
        <v>20.100000000000001</v>
      </c>
      <c r="K165" s="38">
        <f t="shared" si="36"/>
        <v>20</v>
      </c>
      <c r="L165" s="38">
        <f t="shared" si="36"/>
        <v>25</v>
      </c>
      <c r="M165" s="38">
        <f t="shared" si="36"/>
        <v>21.333333333333332</v>
      </c>
      <c r="N165" s="38">
        <f t="shared" si="36"/>
        <v>80</v>
      </c>
      <c r="O165" s="38">
        <f t="shared" si="36"/>
        <v>80</v>
      </c>
      <c r="P165" s="38">
        <f t="shared" si="36"/>
        <v>80</v>
      </c>
      <c r="Q165" s="38">
        <f t="shared" si="36"/>
        <v>75</v>
      </c>
      <c r="R165" s="38">
        <f t="shared" si="36"/>
        <v>75</v>
      </c>
      <c r="S165" s="32"/>
    </row>
    <row r="166" spans="3:22" x14ac:dyDescent="0.25">
      <c r="C166" s="182" t="s">
        <v>114</v>
      </c>
      <c r="D166" s="38">
        <f t="shared" ref="D166:R166" si="37">D15/D165</f>
        <v>25</v>
      </c>
      <c r="E166" s="38">
        <f t="shared" si="37"/>
        <v>1.1000000000000001E-8</v>
      </c>
      <c r="F166" s="38">
        <f t="shared" si="37"/>
        <v>6.0000000000000008E-9</v>
      </c>
      <c r="G166" s="38">
        <f t="shared" si="37"/>
        <v>4.2352941176470589</v>
      </c>
      <c r="H166" s="38">
        <f t="shared" si="37"/>
        <v>8</v>
      </c>
      <c r="I166" s="38">
        <f t="shared" si="37"/>
        <v>1</v>
      </c>
      <c r="J166" s="38">
        <f t="shared" si="37"/>
        <v>69.651741293532339</v>
      </c>
      <c r="K166" s="38">
        <f t="shared" si="37"/>
        <v>30</v>
      </c>
      <c r="L166" s="38">
        <f t="shared" si="37"/>
        <v>4</v>
      </c>
      <c r="M166" s="38">
        <f t="shared" si="37"/>
        <v>75</v>
      </c>
      <c r="N166" s="38">
        <f t="shared" si="37"/>
        <v>8.125</v>
      </c>
      <c r="O166" s="38">
        <f t="shared" si="37"/>
        <v>8.125</v>
      </c>
      <c r="P166" s="38">
        <f t="shared" si="37"/>
        <v>5</v>
      </c>
      <c r="Q166" s="38">
        <f t="shared" si="37"/>
        <v>20</v>
      </c>
      <c r="R166" s="38">
        <f t="shared" si="37"/>
        <v>10.666666666666666</v>
      </c>
      <c r="S166" s="54">
        <f>SUM(D166:R166)</f>
        <v>268.80370209484607</v>
      </c>
    </row>
    <row r="167" spans="3:22" x14ac:dyDescent="0.25">
      <c r="C167" s="182" t="s">
        <v>115</v>
      </c>
      <c r="D167" s="38">
        <f t="shared" ref="D167:R167" si="38">D11</f>
        <v>25</v>
      </c>
      <c r="E167" s="38">
        <f t="shared" si="38"/>
        <v>1.0999999999999999E-8</v>
      </c>
      <c r="F167" s="38">
        <f t="shared" si="38"/>
        <v>6E-9</v>
      </c>
      <c r="G167" s="38">
        <f t="shared" si="38"/>
        <v>5</v>
      </c>
      <c r="H167" s="38">
        <f t="shared" si="38"/>
        <v>10</v>
      </c>
      <c r="I167" s="38">
        <f t="shared" si="38"/>
        <v>1</v>
      </c>
      <c r="J167" s="38">
        <f t="shared" si="38"/>
        <v>70</v>
      </c>
      <c r="K167" s="38">
        <f t="shared" si="38"/>
        <v>30</v>
      </c>
      <c r="L167" s="38">
        <f t="shared" si="38"/>
        <v>4</v>
      </c>
      <c r="M167" s="38">
        <f t="shared" si="38"/>
        <v>75</v>
      </c>
      <c r="N167" s="38">
        <f t="shared" si="38"/>
        <v>8</v>
      </c>
      <c r="O167" s="38">
        <f t="shared" si="38"/>
        <v>8</v>
      </c>
      <c r="P167" s="38">
        <f t="shared" si="38"/>
        <v>5</v>
      </c>
      <c r="Q167" s="38">
        <f t="shared" si="38"/>
        <v>20</v>
      </c>
      <c r="R167" s="38">
        <f t="shared" si="38"/>
        <v>10</v>
      </c>
      <c r="S167" s="54">
        <f>SUM(D167:R167)</f>
        <v>271.00000001699999</v>
      </c>
    </row>
    <row r="168" spans="3:22" x14ac:dyDescent="0.25">
      <c r="C168" s="177" t="s">
        <v>116</v>
      </c>
      <c r="D168" s="9">
        <f t="shared" ref="D168:R168" si="39">(D167-D166)*D73</f>
        <v>0</v>
      </c>
      <c r="E168" s="9">
        <f t="shared" si="39"/>
        <v>-2.8124140826802941E-21</v>
      </c>
      <c r="F168" s="9">
        <f t="shared" si="39"/>
        <v>-1.3648480107124957E-21</v>
      </c>
      <c r="G168" s="9">
        <f t="shared" si="39"/>
        <v>3250</v>
      </c>
      <c r="H168" s="9">
        <f t="shared" si="39"/>
        <v>7800</v>
      </c>
      <c r="I168" s="9">
        <f t="shared" si="39"/>
        <v>0</v>
      </c>
      <c r="J168" s="9">
        <f t="shared" si="39"/>
        <v>487.56218905472508</v>
      </c>
      <c r="K168" s="9">
        <f t="shared" si="39"/>
        <v>0</v>
      </c>
      <c r="L168" s="9">
        <f t="shared" si="39"/>
        <v>0</v>
      </c>
      <c r="M168" s="9">
        <f t="shared" si="39"/>
        <v>0</v>
      </c>
      <c r="N168" s="9">
        <f t="shared" si="39"/>
        <v>-600</v>
      </c>
      <c r="O168" s="9">
        <f t="shared" si="39"/>
        <v>-600</v>
      </c>
      <c r="P168" s="9">
        <f t="shared" si="39"/>
        <v>0</v>
      </c>
      <c r="Q168" s="9">
        <f t="shared" si="39"/>
        <v>0</v>
      </c>
      <c r="R168" s="9">
        <f t="shared" si="39"/>
        <v>-4999.9999999999955</v>
      </c>
      <c r="S168" s="9">
        <f>SUM(D168:R168)</f>
        <v>5337.5621890547291</v>
      </c>
      <c r="T168" s="55"/>
      <c r="U168" s="55"/>
    </row>
    <row r="169" spans="3:22" x14ac:dyDescent="0.25">
      <c r="C169" s="177"/>
      <c r="D169"/>
      <c r="E169"/>
      <c r="F169"/>
      <c r="G169"/>
      <c r="H169"/>
      <c r="I169"/>
    </row>
    <row r="170" spans="3:22" x14ac:dyDescent="0.25">
      <c r="C170" s="184" t="s">
        <v>117</v>
      </c>
      <c r="S170" s="130"/>
      <c r="V170" s="131"/>
    </row>
    <row r="171" spans="3:22" x14ac:dyDescent="0.25">
      <c r="C171" s="184" t="s">
        <v>118</v>
      </c>
    </row>
    <row r="172" spans="3:22" x14ac:dyDescent="0.25">
      <c r="C172" s="182" t="s">
        <v>119</v>
      </c>
      <c r="D172" s="9">
        <f>$T91*(D13/$S27-D70/$S84)*$S27+$T107*(D14/$S27-D71/$S84)*$S27</f>
        <v>-1718.22994065443</v>
      </c>
      <c r="E172" s="9">
        <f>$T91*(E13/$S27-E70/$S84)*$S27+$T107*(E14/$S27-E71/$S84)*$S27</f>
        <v>-2483.6525436696006</v>
      </c>
      <c r="F172" s="9">
        <f>$T91*(F13/$S27-F70/$S84)*$S27+$T107*(F14/$S27-F71/$S84)*$S27</f>
        <v>-1300.9608562078859</v>
      </c>
      <c r="G172" s="9">
        <f>$T96*(G13/$S27-G70/$S84)*$S27+$T112*(G14/$S27-G71/$S84)*$S27</f>
        <v>5901.7325016493542</v>
      </c>
      <c r="H172" s="9">
        <f>$T96*(H13/$S27-H70/$S84)*$S27+$T112*(H14/$S27-H71/$S84)*$S27</f>
        <v>726.26472537644361</v>
      </c>
      <c r="I172" s="9">
        <f>$T96*(I13/$S27-I70/$S84)*$S27+$T112*(I14/$S27-I71/$S84)*$S27</f>
        <v>-11273.735274622315</v>
      </c>
      <c r="J172" s="9">
        <f>$T96*(J13/$S27-J70/$S84)*$S27+$T112*(J14/$S27-J71/$S84)*$S27</f>
        <v>-2700.2079019769999</v>
      </c>
      <c r="K172" s="9">
        <f>$T96*(K13/$S29-K70/$S86)*$S29+$T112*(K14/$S29-K71/$S86)*$S29</f>
        <v>11999.999998234243</v>
      </c>
      <c r="L172" s="9">
        <f>$T96*(L13/$S29-L70/$S86)*$S29+$T112*(L14/$S29-L71/$S86)*$S29</f>
        <v>1999.9999997057073</v>
      </c>
      <c r="M172" s="9">
        <f>$T103*(M13/$S27-M70/$S84)*$S27+$T119*(M14/$S27-M71/$S84)*$S27</f>
        <v>13491.337488805388</v>
      </c>
      <c r="N172" s="9">
        <f>$T103*(N13/$S27-N70/$S84)*$S27+$T119*(N14/$S27-N71/$S84)*$S27</f>
        <v>11484.176483585125</v>
      </c>
      <c r="O172" s="9">
        <f>$T103*(O13/$S29-O70/$S86)*$S29+$T119*(O14/$S29-O71/$S86)*$S29</f>
        <v>2222.2222233564803</v>
      </c>
      <c r="P172" s="9">
        <f>$T103*(P13/$S29-P70/$S86)*$S29+$T119*(P14/$S29-P71/$S86)*$S29</f>
        <v>-30095.959593371423</v>
      </c>
      <c r="Q172" s="9">
        <f>$T103*(Q13/$S31-Q70/$S88)*$S31+$T119*(Q14/$S31-Q71/$S88)*$S31</f>
        <v>14954.545454545456</v>
      </c>
      <c r="R172" s="9">
        <f>$T105*(R13/$S31-R70/$S88)*$S31+$T121*(R14/$S31-R71/$S88)*$S31</f>
        <v>-17500.000000000004</v>
      </c>
      <c r="S172" s="9">
        <f>SUM(D172:R172)</f>
        <v>-4292.4672352444613</v>
      </c>
      <c r="V172" s="57">
        <f>'表TN-4'!M43</f>
        <v>-4292.4672352444722</v>
      </c>
    </row>
    <row r="173" spans="3:22" x14ac:dyDescent="0.25">
      <c r="C173" s="177"/>
      <c r="D173" s="58"/>
      <c r="E173"/>
      <c r="F173"/>
      <c r="G173"/>
      <c r="H173"/>
      <c r="I173"/>
    </row>
    <row r="174" spans="3:22" x14ac:dyDescent="0.25">
      <c r="C174" s="184" t="s">
        <v>120</v>
      </c>
      <c r="D174"/>
      <c r="E174"/>
      <c r="F174"/>
      <c r="G174"/>
      <c r="H174"/>
      <c r="I174"/>
    </row>
    <row r="175" spans="3:22" x14ac:dyDescent="0.25">
      <c r="C175" s="184" t="s">
        <v>121</v>
      </c>
      <c r="D175"/>
      <c r="E175"/>
      <c r="F175"/>
      <c r="G175"/>
      <c r="H175"/>
      <c r="I175"/>
    </row>
    <row r="176" spans="3:22" x14ac:dyDescent="0.25">
      <c r="C176" s="177" t="s">
        <v>122</v>
      </c>
      <c r="D176" s="9">
        <f t="shared" ref="D176:J176" si="40">D77*(D15/$S27-D72/$S84)*$S27</f>
        <v>-8875.952878791406</v>
      </c>
      <c r="E176" s="9">
        <f t="shared" si="40"/>
        <v>-14280.942463071866</v>
      </c>
      <c r="F176" s="9">
        <f t="shared" si="40"/>
        <v>-7560.4989510380465</v>
      </c>
      <c r="G176" s="9">
        <f t="shared" si="40"/>
        <v>14754.331254142759</v>
      </c>
      <c r="H176" s="9">
        <f t="shared" si="40"/>
        <v>1416.2162144864853</v>
      </c>
      <c r="I176" s="9">
        <f t="shared" si="40"/>
        <v>-22547.47054924463</v>
      </c>
      <c r="J176" s="9">
        <f t="shared" si="40"/>
        <v>-9403.7091114109335</v>
      </c>
      <c r="K176" s="9">
        <f>K77*(K15/$S29-K72/$S86)*$S29</f>
        <v>38999.9999943125</v>
      </c>
      <c r="L176" s="9">
        <f>L77*(L15/$S29-L72/$S86)*$S29</f>
        <v>7499.9999989062489</v>
      </c>
      <c r="M176" s="9">
        <f>M77*(M15/$S27-M72/$S84)*$S27</f>
        <v>26585.239080249474</v>
      </c>
      <c r="N176" s="9">
        <f>N77*(N15/$S27-N72/$S84)*$S27</f>
        <v>20671.517670453224</v>
      </c>
      <c r="O176" s="9">
        <f>O77*(O15/$S29-O72/$S86)*$S29</f>
        <v>4000.0000020416642</v>
      </c>
      <c r="P176" s="9">
        <f>P77*(P15/$S29-P72/$S86)*$S29</f>
        <v>-45999.999995916674</v>
      </c>
      <c r="Q176" s="9">
        <f>Q77*(Q15/$S31-Q72/$S88)*$S31</f>
        <v>32666.666666666668</v>
      </c>
      <c r="R176" s="9">
        <f>R77*(R15/$S31-R72/$S88)*$S31</f>
        <v>-35000.000000000007</v>
      </c>
      <c r="S176" s="9">
        <f>SUM(D176:R176)</f>
        <v>2925.3969317854571</v>
      </c>
      <c r="T176" s="56"/>
      <c r="U176" s="56"/>
      <c r="V176" s="52">
        <f>SUM(S150:S152)</f>
        <v>2925.3969317854717</v>
      </c>
    </row>
    <row r="177" spans="3:22" x14ac:dyDescent="0.25">
      <c r="C177" s="177"/>
      <c r="D177"/>
      <c r="E177"/>
      <c r="F177"/>
      <c r="G177"/>
      <c r="H177"/>
      <c r="I177"/>
    </row>
    <row r="178" spans="3:22" x14ac:dyDescent="0.25">
      <c r="C178" s="184" t="s">
        <v>282</v>
      </c>
      <c r="D178"/>
      <c r="E178"/>
      <c r="F178"/>
      <c r="G178"/>
      <c r="H178"/>
      <c r="I178"/>
    </row>
    <row r="179" spans="3:22" x14ac:dyDescent="0.25">
      <c r="C179" t="s">
        <v>47</v>
      </c>
      <c r="D179" s="9">
        <f t="shared" ref="D179:R179" si="41">D75*(D13/$S15-D70/$S72)*$S15+D76*(D14/$S15-D71/$S72)*$S15</f>
        <v>-5225.4575710426207</v>
      </c>
      <c r="E179" s="9">
        <f t="shared" si="41"/>
        <v>-3451.7803628903107</v>
      </c>
      <c r="F179" s="9">
        <f t="shared" si="41"/>
        <v>-2216.3505248665892</v>
      </c>
      <c r="G179" s="9">
        <f t="shared" si="41"/>
        <v>5397.2268441022952</v>
      </c>
      <c r="H179" s="9">
        <f t="shared" si="41"/>
        <v>-5209.0959517377014</v>
      </c>
      <c r="I179" s="9">
        <f t="shared" si="41"/>
        <v>-17209.095951737701</v>
      </c>
      <c r="J179" s="9">
        <f t="shared" si="41"/>
        <v>-14630.282862992779</v>
      </c>
      <c r="K179" s="9">
        <f t="shared" si="41"/>
        <v>11399.99999879108</v>
      </c>
      <c r="L179" s="9">
        <f t="shared" si="41"/>
        <v>1999.9999997879092</v>
      </c>
      <c r="M179" s="9">
        <f t="shared" si="41"/>
        <v>-3627.2878552131001</v>
      </c>
      <c r="N179" s="9">
        <f t="shared" si="41"/>
        <v>7903.6328337836076</v>
      </c>
      <c r="O179" s="9">
        <f t="shared" si="41"/>
        <v>6774.5424289573784</v>
      </c>
      <c r="P179" s="9">
        <f t="shared" si="41"/>
        <v>-15071.824737259014</v>
      </c>
      <c r="Q179" s="9">
        <f t="shared" si="41"/>
        <v>59093.178036196732</v>
      </c>
      <c r="R179" s="9">
        <f t="shared" si="41"/>
        <v>24093.178036196728</v>
      </c>
      <c r="S179" s="9">
        <f>SUM(D179:R179)</f>
        <v>50020.582360075918</v>
      </c>
      <c r="V179" s="52">
        <f>S147+SUM(S149:S152)</f>
        <v>108177.16881996754</v>
      </c>
    </row>
    <row r="180" spans="3:22" x14ac:dyDescent="0.25">
      <c r="C180" t="s">
        <v>123</v>
      </c>
      <c r="D180" s="9">
        <f t="shared" ref="D180:R180" si="42">D77*(D15/$S15-D72/$S72)*$S15</f>
        <v>-27869.107045560646</v>
      </c>
      <c r="E180" s="9">
        <f t="shared" si="42"/>
        <v>-19830.50469617475</v>
      </c>
      <c r="F180" s="9">
        <f t="shared" si="42"/>
        <v>-10498.502486210162</v>
      </c>
      <c r="G180" s="9">
        <f t="shared" si="42"/>
        <v>13493.067110255739</v>
      </c>
      <c r="H180" s="9">
        <f t="shared" si="42"/>
        <v>-10157.737105888513</v>
      </c>
      <c r="I180" s="9">
        <f t="shared" si="42"/>
        <v>-34418.191903475403</v>
      </c>
      <c r="J180" s="9">
        <f t="shared" si="42"/>
        <v>-50951.23385121864</v>
      </c>
      <c r="K180" s="9">
        <f t="shared" si="42"/>
        <v>38999.999995864222</v>
      </c>
      <c r="L180" s="9">
        <f t="shared" si="42"/>
        <v>7499.9999992046596</v>
      </c>
      <c r="M180" s="9">
        <f t="shared" si="42"/>
        <v>-6801.1647285245626</v>
      </c>
      <c r="N180" s="9">
        <f t="shared" si="42"/>
        <v>13549.084857914757</v>
      </c>
      <c r="O180" s="9">
        <f t="shared" si="42"/>
        <v>13549.084857914757</v>
      </c>
      <c r="P180" s="9">
        <f t="shared" si="42"/>
        <v>-26901.830284170483</v>
      </c>
      <c r="Q180" s="9">
        <f t="shared" si="42"/>
        <v>110307.26566756723</v>
      </c>
      <c r="R180" s="9">
        <f t="shared" si="42"/>
        <v>48186.356072393457</v>
      </c>
      <c r="S180" s="9">
        <f>SUM(D180:R180)</f>
        <v>58156.586459891674</v>
      </c>
      <c r="V180" s="52">
        <f>S179+S180</f>
        <v>108177.1688199676</v>
      </c>
    </row>
    <row r="184" spans="3:22" ht="27.6" x14ac:dyDescent="0.25">
      <c r="C184" s="165" t="s">
        <v>124</v>
      </c>
      <c r="D184" s="163" t="s">
        <v>127</v>
      </c>
      <c r="E184" s="163" t="s">
        <v>128</v>
      </c>
    </row>
    <row r="185" spans="3:22" x14ac:dyDescent="0.25">
      <c r="C185" s="2" t="s">
        <v>125</v>
      </c>
    </row>
    <row r="186" spans="3:22" x14ac:dyDescent="0.25">
      <c r="C186" t="str">
        <f>C149</f>
        <v>第一段路线组合差异</v>
      </c>
      <c r="D186" s="23">
        <f>G149</f>
        <v>5901.732501657104</v>
      </c>
      <c r="E186" s="23">
        <f t="shared" ref="E186:E189" si="43">H149</f>
        <v>726.26472537768484</v>
      </c>
    </row>
    <row r="187" spans="3:22" x14ac:dyDescent="0.25">
      <c r="C187" t="str">
        <f>C150</f>
        <v>后一段路线组合差异</v>
      </c>
      <c r="D187" s="23">
        <f t="shared" ref="D187:D189" si="44">G150</f>
        <v>16087.445433393752</v>
      </c>
      <c r="E187" s="23">
        <f t="shared" si="43"/>
        <v>1979.714284988622</v>
      </c>
    </row>
    <row r="188" spans="3:22" x14ac:dyDescent="0.25">
      <c r="C188" t="str">
        <f>C151</f>
        <v>后一段运输方式组合差异</v>
      </c>
      <c r="D188" s="23">
        <f t="shared" si="44"/>
        <v>12066.575513580121</v>
      </c>
      <c r="E188" s="23">
        <f t="shared" si="43"/>
        <v>5022.8726726422592</v>
      </c>
    </row>
    <row r="189" spans="3:22" x14ac:dyDescent="0.25">
      <c r="C189" t="str">
        <f>C152</f>
        <v>后一段承运商组合差异</v>
      </c>
      <c r="D189" s="23">
        <f t="shared" si="44"/>
        <v>13456.221198156683</v>
      </c>
      <c r="E189" s="23">
        <f t="shared" si="43"/>
        <v>-10495.852534562211</v>
      </c>
    </row>
    <row r="190" spans="3:22" x14ac:dyDescent="0.25">
      <c r="C190" s="2" t="s">
        <v>126</v>
      </c>
    </row>
    <row r="191" spans="3:22" x14ac:dyDescent="0.25">
      <c r="C191" t="str">
        <f>C156</f>
        <v>第一段费率差异</v>
      </c>
      <c r="D191" s="23">
        <f>G156</f>
        <v>360</v>
      </c>
      <c r="E191" s="23">
        <f t="shared" ref="E191:E193" si="45">H156</f>
        <v>-200</v>
      </c>
    </row>
    <row r="192" spans="3:22" x14ac:dyDescent="0.25">
      <c r="C192" t="str">
        <f t="shared" ref="C192:C193" si="46">C157</f>
        <v>后一段费率差异</v>
      </c>
      <c r="D192" s="23">
        <f t="shared" ref="D192:D193" si="47">G157</f>
        <v>640</v>
      </c>
      <c r="E192" s="23">
        <f t="shared" si="45"/>
        <v>1000</v>
      </c>
    </row>
    <row r="193" spans="3:5" x14ac:dyDescent="0.25">
      <c r="C193" s="43" t="str">
        <f t="shared" si="46"/>
        <v>效率差异</v>
      </c>
      <c r="D193" s="164">
        <f t="shared" si="47"/>
        <v>3250</v>
      </c>
      <c r="E193" s="164">
        <f t="shared" si="45"/>
        <v>7800</v>
      </c>
    </row>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sheetData>
  <phoneticPr fontId="13" type="noConversion"/>
  <pageMargins left="0.19685039370078741" right="0.19685039370078741" top="0.39370078740157483" bottom="0.39370078740157483" header="0.19685039370078741" footer="0.19685039370078741"/>
  <pageSetup paperSize="9" scale="59" fitToHeight="8" orientation="landscape" r:id="rId1"/>
  <headerFooter>
    <oddHeader>&amp;F</oddHeader>
    <oddFooter>&amp;A</oddFooter>
  </headerFooter>
  <ignoredErrors>
    <ignoredError sqref="K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C36"/>
  <sheetViews>
    <sheetView tabSelected="1" topLeftCell="A16" zoomScale="85" zoomScaleNormal="85" workbookViewId="0">
      <selection activeCell="Q31" sqref="Q31"/>
    </sheetView>
  </sheetViews>
  <sheetFormatPr defaultRowHeight="13.8" x14ac:dyDescent="0.25"/>
  <cols>
    <col min="1" max="1" width="1.77734375" customWidth="1"/>
    <col min="2" max="2" width="37.88671875" customWidth="1"/>
  </cols>
  <sheetData>
    <row r="4" spans="2:3" x14ac:dyDescent="0.25">
      <c r="B4" t="s">
        <v>262</v>
      </c>
      <c r="C4" s="25">
        <f>表1!T81</f>
        <v>91.35829173595063</v>
      </c>
    </row>
    <row r="5" spans="2:3" x14ac:dyDescent="0.25">
      <c r="B5" t="s">
        <v>263</v>
      </c>
      <c r="C5" s="25">
        <f>'表TN-3和表TN-6'!L10</f>
        <v>10.682358988222182</v>
      </c>
    </row>
    <row r="6" spans="2:3" x14ac:dyDescent="0.25">
      <c r="B6" t="s">
        <v>197</v>
      </c>
      <c r="C6" s="25">
        <f>'表TN-3和表TN-6'!L12</f>
        <v>0.32724058130281752</v>
      </c>
    </row>
    <row r="7" spans="2:3" x14ac:dyDescent="0.25">
      <c r="B7" t="s">
        <v>264</v>
      </c>
      <c r="C7" s="25">
        <f>'表TN-3和表TN-6'!L13</f>
        <v>0.21795076378428563</v>
      </c>
    </row>
    <row r="8" spans="2:3" x14ac:dyDescent="0.25">
      <c r="B8" t="s">
        <v>199</v>
      </c>
      <c r="C8" s="25">
        <f>'表TN-3和表TN-6'!L14</f>
        <v>-8.151624701752859E-2</v>
      </c>
    </row>
    <row r="9" spans="2:3" x14ac:dyDescent="0.25">
      <c r="B9" t="s">
        <v>200</v>
      </c>
      <c r="C9" s="25">
        <f>'表TN-3和表TN-6'!L15</f>
        <v>0.16956934638047627</v>
      </c>
    </row>
    <row r="10" spans="2:3" x14ac:dyDescent="0.25">
      <c r="B10" t="s">
        <v>265</v>
      </c>
      <c r="C10" s="25">
        <f>'表TN-3和表TN-6'!L17</f>
        <v>0.64958158993641568</v>
      </c>
    </row>
    <row r="11" spans="2:3" x14ac:dyDescent="0.25">
      <c r="B11" t="s">
        <v>266</v>
      </c>
      <c r="C11" s="25">
        <f>'表TN-3和表TN-6'!L18</f>
        <v>2.1197698744060327</v>
      </c>
    </row>
    <row r="12" spans="2:3" x14ac:dyDescent="0.25">
      <c r="B12" t="s">
        <v>196</v>
      </c>
      <c r="C12" s="25">
        <f>'表TN-3和表TN-6'!L19</f>
        <v>0.55832240469414918</v>
      </c>
    </row>
    <row r="13" spans="2:3" x14ac:dyDescent="0.25">
      <c r="B13" t="s">
        <v>267</v>
      </c>
      <c r="C13" s="25">
        <f>-表1!T24</f>
        <v>-106.00156903765946</v>
      </c>
    </row>
    <row r="15" spans="2:3" x14ac:dyDescent="0.25">
      <c r="C15" s="60">
        <f>SUM(C4:C12)</f>
        <v>106.00156903765945</v>
      </c>
    </row>
    <row r="23" spans="2:3" x14ac:dyDescent="0.25">
      <c r="B23" s="3" t="str">
        <f>B4</f>
        <v>预算单位成本</v>
      </c>
      <c r="C23" s="25">
        <f>表1!T81</f>
        <v>91.35829173595063</v>
      </c>
    </row>
    <row r="24" spans="2:3" x14ac:dyDescent="0.25">
      <c r="B24" s="3" t="str">
        <f t="shared" ref="B24:B28" si="0">B5</f>
        <v>客户组合</v>
      </c>
      <c r="C24" s="25">
        <f>'表TN-3和表TN-6'!L32</f>
        <v>10.682358988222182</v>
      </c>
    </row>
    <row r="25" spans="2:3" x14ac:dyDescent="0.25">
      <c r="B25" s="3" t="str">
        <f t="shared" si="0"/>
        <v>第一段组合</v>
      </c>
      <c r="C25" s="25">
        <f>'表TN-3和表TN-6'!L34</f>
        <v>0.32724058130281752</v>
      </c>
    </row>
    <row r="26" spans="2:3" x14ac:dyDescent="0.25">
      <c r="B26" s="3" t="str">
        <f t="shared" si="0"/>
        <v>后一段路线组合</v>
      </c>
      <c r="C26" s="25">
        <f>'表TN-3和表TN-6'!L35</f>
        <v>0.21795076378428563</v>
      </c>
    </row>
    <row r="27" spans="2:3" x14ac:dyDescent="0.25">
      <c r="B27" s="3" t="str">
        <f t="shared" si="0"/>
        <v>运输方式组合</v>
      </c>
      <c r="C27" s="25">
        <f>'表TN-3和表TN-6'!L36</f>
        <v>-8.151624701752859E-2</v>
      </c>
    </row>
    <row r="28" spans="2:3" x14ac:dyDescent="0.25">
      <c r="B28" s="3" t="str">
        <f t="shared" si="0"/>
        <v>承运商组合</v>
      </c>
      <c r="C28" s="25">
        <f>'表TN-3和表TN-6'!L37</f>
        <v>0.16956934638047627</v>
      </c>
    </row>
    <row r="29" spans="2:3" x14ac:dyDescent="0.25">
      <c r="B29" s="175" t="s">
        <v>268</v>
      </c>
      <c r="C29" s="25">
        <f>'表TN-3和表TN-6'!L39</f>
        <v>4.8509414224317864E-2</v>
      </c>
    </row>
    <row r="30" spans="2:3" x14ac:dyDescent="0.25">
      <c r="B30" s="176" t="str">
        <f>B10</f>
        <v>第一段费率</v>
      </c>
      <c r="C30" s="25">
        <f>'表TN-3和表TN-6'!L40</f>
        <v>0.60107217571209781</v>
      </c>
    </row>
    <row r="31" spans="2:3" x14ac:dyDescent="0.25">
      <c r="B31" s="175" t="s">
        <v>269</v>
      </c>
      <c r="C31" s="25">
        <f>'表TN-3和表TN-6'!L41</f>
        <v>0.96173378661907882</v>
      </c>
    </row>
    <row r="32" spans="2:3" x14ac:dyDescent="0.25">
      <c r="B32" s="3" t="str">
        <f>B11</f>
        <v>后一段费率</v>
      </c>
      <c r="C32" s="25">
        <f>'表TN-3和表TN-6'!L42</f>
        <v>1.158036087786954</v>
      </c>
    </row>
    <row r="33" spans="2:3" x14ac:dyDescent="0.25">
      <c r="B33" s="3" t="str">
        <f>B12</f>
        <v>效率</v>
      </c>
      <c r="C33" s="25">
        <f>'表TN-3和表TN-6'!L43</f>
        <v>0.55832240469414918</v>
      </c>
    </row>
    <row r="34" spans="2:3" x14ac:dyDescent="0.25">
      <c r="B34" s="3" t="str">
        <f>B13</f>
        <v>实际单位成本</v>
      </c>
      <c r="C34" s="25">
        <f>-表1!T24</f>
        <v>-106.00156903765946</v>
      </c>
    </row>
    <row r="36" spans="2:3" x14ac:dyDescent="0.25">
      <c r="C36" s="60">
        <f>SUM(C23:C33)</f>
        <v>106.00156903765945</v>
      </c>
    </row>
  </sheetData>
  <phoneticPr fontId="1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showGridLines="0" topLeftCell="A25" zoomScale="85" zoomScaleNormal="85" workbookViewId="0">
      <selection activeCell="C51" sqref="C51:C52"/>
    </sheetView>
  </sheetViews>
  <sheetFormatPr defaultRowHeight="13.8" x14ac:dyDescent="0.25"/>
  <cols>
    <col min="1" max="1" width="20.109375" customWidth="1"/>
    <col min="2" max="2" width="9.88671875" customWidth="1"/>
    <col min="3" max="3" width="25.88671875" customWidth="1"/>
    <col min="4" max="5" width="11.109375" style="1" bestFit="1" customWidth="1"/>
    <col min="6" max="6" width="11.109375" customWidth="1"/>
    <col min="7" max="8" width="12.44140625" bestFit="1" customWidth="1"/>
    <col min="9" max="9" width="11.109375" customWidth="1"/>
    <col min="10" max="11" width="9.77734375" customWidth="1"/>
    <col min="12" max="13" width="1.77734375" customWidth="1"/>
    <col min="14" max="14" width="7.33203125" style="11" customWidth="1"/>
    <col min="15" max="15" width="9.44140625" customWidth="1"/>
    <col min="16" max="16" width="22.21875" customWidth="1"/>
    <col min="17" max="19" width="9.77734375" customWidth="1"/>
    <col min="20" max="20" width="12" bestFit="1" customWidth="1"/>
    <col min="21" max="21" width="12.44140625" bestFit="1" customWidth="1"/>
    <col min="22" max="22" width="9.77734375" customWidth="1"/>
  </cols>
  <sheetData>
    <row r="1" spans="2:14" ht="14.4" thickBot="1" x14ac:dyDescent="0.3"/>
    <row r="2" spans="2:14" x14ac:dyDescent="0.25">
      <c r="B2" s="66"/>
      <c r="C2" s="73"/>
      <c r="D2" s="72"/>
      <c r="E2" s="72"/>
      <c r="F2" s="73"/>
      <c r="G2" s="73"/>
      <c r="H2" s="73"/>
      <c r="I2" s="73"/>
      <c r="J2" s="73"/>
      <c r="K2" s="73"/>
      <c r="L2" s="67"/>
    </row>
    <row r="3" spans="2:14" x14ac:dyDescent="0.25">
      <c r="B3" s="76"/>
      <c r="C3" s="2" t="s">
        <v>129</v>
      </c>
      <c r="L3" s="74"/>
    </row>
    <row r="4" spans="2:14" x14ac:dyDescent="0.25">
      <c r="B4" s="76"/>
      <c r="C4" s="43"/>
      <c r="D4" s="37"/>
      <c r="E4" s="37"/>
      <c r="F4" s="43"/>
      <c r="G4" s="43"/>
      <c r="H4" s="43"/>
      <c r="I4" s="43"/>
      <c r="L4" s="74"/>
    </row>
    <row r="5" spans="2:14" x14ac:dyDescent="0.25">
      <c r="B5" s="76"/>
      <c r="C5" s="2" t="s">
        <v>62</v>
      </c>
      <c r="J5" s="6" t="s">
        <v>81</v>
      </c>
      <c r="K5" s="6" t="s">
        <v>82</v>
      </c>
      <c r="L5" s="75"/>
      <c r="M5" s="6"/>
      <c r="N5" s="118" t="s">
        <v>83</v>
      </c>
    </row>
    <row r="6" spans="2:14" x14ac:dyDescent="0.25">
      <c r="B6" s="76"/>
      <c r="C6" s="122" t="s">
        <v>65</v>
      </c>
      <c r="D6" s="37">
        <v>1</v>
      </c>
      <c r="E6" s="37">
        <v>2</v>
      </c>
      <c r="F6" s="37">
        <v>3</v>
      </c>
      <c r="G6" s="37">
        <v>4</v>
      </c>
      <c r="H6" s="37">
        <v>5</v>
      </c>
      <c r="I6" s="37">
        <v>6</v>
      </c>
      <c r="L6" s="74"/>
    </row>
    <row r="7" spans="2:14" x14ac:dyDescent="0.25">
      <c r="B7" s="76"/>
      <c r="C7" t="s">
        <v>64</v>
      </c>
      <c r="D7" s="1" t="s">
        <v>0</v>
      </c>
      <c r="E7" s="1" t="s">
        <v>0</v>
      </c>
      <c r="F7" s="1" t="s">
        <v>0</v>
      </c>
      <c r="G7" s="1" t="s">
        <v>0</v>
      </c>
      <c r="H7" s="1" t="s">
        <v>0</v>
      </c>
      <c r="I7" s="1" t="s">
        <v>1</v>
      </c>
      <c r="L7" s="74"/>
    </row>
    <row r="8" spans="2:14" x14ac:dyDescent="0.25">
      <c r="B8" s="76"/>
      <c r="C8" t="s">
        <v>66</v>
      </c>
      <c r="D8" s="1">
        <v>1</v>
      </c>
      <c r="E8" s="1">
        <v>2</v>
      </c>
      <c r="F8" s="1">
        <v>2</v>
      </c>
      <c r="G8" s="1">
        <v>2</v>
      </c>
      <c r="H8" s="1">
        <v>2</v>
      </c>
      <c r="I8" s="1">
        <v>3</v>
      </c>
      <c r="L8" s="74"/>
    </row>
    <row r="9" spans="2:14" x14ac:dyDescent="0.25">
      <c r="B9" s="76"/>
      <c r="C9" t="s">
        <v>67</v>
      </c>
      <c r="D9" s="1" t="s">
        <v>135</v>
      </c>
      <c r="E9" s="1" t="s">
        <v>136</v>
      </c>
      <c r="F9" s="1" t="s">
        <v>135</v>
      </c>
      <c r="G9" s="1" t="s">
        <v>135</v>
      </c>
      <c r="H9" s="1" t="s">
        <v>135</v>
      </c>
      <c r="I9" s="1" t="s">
        <v>136</v>
      </c>
      <c r="L9" s="74"/>
    </row>
    <row r="10" spans="2:14" x14ac:dyDescent="0.25">
      <c r="B10" s="76"/>
      <c r="C10" s="43" t="s">
        <v>69</v>
      </c>
      <c r="D10" s="37" t="s">
        <v>137</v>
      </c>
      <c r="E10" s="37" t="s">
        <v>141</v>
      </c>
      <c r="F10" s="37" t="s">
        <v>138</v>
      </c>
      <c r="G10" s="37" t="s">
        <v>139</v>
      </c>
      <c r="H10" s="37" t="s">
        <v>140</v>
      </c>
      <c r="I10" s="37" t="s">
        <v>142</v>
      </c>
      <c r="L10" s="74"/>
    </row>
    <row r="11" spans="2:14" x14ac:dyDescent="0.25">
      <c r="B11" s="76"/>
      <c r="C11" t="s">
        <v>68</v>
      </c>
      <c r="D11" s="1">
        <v>25</v>
      </c>
      <c r="E11" s="1">
        <v>5</v>
      </c>
      <c r="F11" s="1">
        <v>70</v>
      </c>
      <c r="G11" s="1">
        <v>30</v>
      </c>
      <c r="H11" s="1">
        <v>4</v>
      </c>
      <c r="I11" s="1">
        <v>5</v>
      </c>
      <c r="J11" s="77">
        <f>SUM(D11:I11)</f>
        <v>139</v>
      </c>
      <c r="L11" s="74"/>
    </row>
    <row r="12" spans="2:14" x14ac:dyDescent="0.25">
      <c r="B12" s="76"/>
      <c r="C12" s="177" t="s">
        <v>278</v>
      </c>
      <c r="F12" s="1"/>
      <c r="G12" s="1"/>
      <c r="H12" s="1"/>
      <c r="I12" s="1"/>
      <c r="L12" s="74"/>
    </row>
    <row r="13" spans="2:14" x14ac:dyDescent="0.25">
      <c r="B13" s="76"/>
      <c r="C13" s="182" t="s">
        <v>70</v>
      </c>
      <c r="D13" s="22">
        <v>500</v>
      </c>
      <c r="E13" s="22">
        <v>360</v>
      </c>
      <c r="F13" s="22">
        <v>1400</v>
      </c>
      <c r="G13" s="22">
        <v>600</v>
      </c>
      <c r="H13" s="22">
        <v>100</v>
      </c>
      <c r="I13" s="22">
        <v>300</v>
      </c>
      <c r="J13" s="77">
        <f>SUM(D13:I13)</f>
        <v>3260</v>
      </c>
      <c r="L13" s="74"/>
    </row>
    <row r="14" spans="2:14" x14ac:dyDescent="0.25">
      <c r="B14" s="76"/>
      <c r="C14" s="182" t="s">
        <v>71</v>
      </c>
      <c r="D14" s="4"/>
      <c r="E14" s="4"/>
      <c r="F14" s="4"/>
      <c r="G14" s="4"/>
      <c r="H14" s="4"/>
      <c r="I14" s="4">
        <v>100</v>
      </c>
      <c r="J14" s="7">
        <f>SUM(D14:I14)</f>
        <v>100</v>
      </c>
      <c r="L14" s="74"/>
    </row>
    <row r="15" spans="2:14" x14ac:dyDescent="0.25">
      <c r="B15" s="76"/>
      <c r="C15" s="182" t="s">
        <v>72</v>
      </c>
      <c r="D15" s="5">
        <f>SUM(D13:D14)</f>
        <v>500</v>
      </c>
      <c r="E15" s="5">
        <f>SUM(E13:E14)</f>
        <v>360</v>
      </c>
      <c r="F15" s="5">
        <f t="shared" ref="F15:J15" si="0">SUM(F13:F14)</f>
        <v>1400</v>
      </c>
      <c r="G15" s="5">
        <f t="shared" si="0"/>
        <v>600</v>
      </c>
      <c r="H15" s="5">
        <f t="shared" si="0"/>
        <v>100</v>
      </c>
      <c r="I15" s="5">
        <f t="shared" si="0"/>
        <v>400</v>
      </c>
      <c r="J15" s="78">
        <f t="shared" si="0"/>
        <v>3360</v>
      </c>
      <c r="L15" s="74"/>
      <c r="N15" s="119">
        <f>SUM(D15:I15)</f>
        <v>3360</v>
      </c>
    </row>
    <row r="16" spans="2:14" x14ac:dyDescent="0.25">
      <c r="B16" s="76"/>
      <c r="C16" s="182" t="s">
        <v>73</v>
      </c>
      <c r="D16" s="79">
        <v>1600</v>
      </c>
      <c r="E16" s="79">
        <v>4320</v>
      </c>
      <c r="F16" s="79">
        <v>1400</v>
      </c>
      <c r="G16" s="79">
        <v>1300</v>
      </c>
      <c r="H16" s="79">
        <v>1875</v>
      </c>
      <c r="I16" s="79">
        <v>4800</v>
      </c>
      <c r="L16" s="74"/>
    </row>
    <row r="17" spans="2:14" x14ac:dyDescent="0.25">
      <c r="B17" s="76"/>
      <c r="C17" s="182" t="s">
        <v>74</v>
      </c>
      <c r="E17"/>
      <c r="L17" s="74"/>
    </row>
    <row r="18" spans="2:14" x14ac:dyDescent="0.25">
      <c r="B18" s="76"/>
      <c r="C18" t="s">
        <v>70</v>
      </c>
      <c r="D18" s="80">
        <v>15</v>
      </c>
      <c r="E18" s="81">
        <f>20</f>
        <v>20</v>
      </c>
      <c r="F18" s="80">
        <v>20</v>
      </c>
      <c r="G18" s="80">
        <v>20</v>
      </c>
      <c r="H18" s="80">
        <v>20</v>
      </c>
      <c r="I18" s="80">
        <v>30</v>
      </c>
      <c r="L18" s="74"/>
    </row>
    <row r="19" spans="2:14" x14ac:dyDescent="0.25">
      <c r="B19" s="76"/>
      <c r="C19" t="s">
        <v>71</v>
      </c>
      <c r="D19" s="80"/>
      <c r="E19" s="80"/>
      <c r="F19" s="80"/>
      <c r="G19" s="80"/>
      <c r="H19" s="80"/>
      <c r="I19" s="80">
        <v>35</v>
      </c>
      <c r="J19" s="6"/>
      <c r="L19" s="74"/>
    </row>
    <row r="20" spans="2:14" x14ac:dyDescent="0.25">
      <c r="B20" s="76"/>
      <c r="C20" t="s">
        <v>75</v>
      </c>
      <c r="D20" s="8">
        <f>D23/D15</f>
        <v>80</v>
      </c>
      <c r="E20" s="8">
        <f t="shared" ref="E20:I20" si="1">E23/E15</f>
        <v>60</v>
      </c>
      <c r="F20" s="8">
        <f t="shared" si="1"/>
        <v>70</v>
      </c>
      <c r="G20" s="8">
        <f t="shared" si="1"/>
        <v>65</v>
      </c>
      <c r="H20" s="8">
        <f t="shared" si="1"/>
        <v>75</v>
      </c>
      <c r="I20" s="8">
        <f t="shared" si="1"/>
        <v>60</v>
      </c>
      <c r="L20" s="74"/>
      <c r="N20" s="120">
        <f>(D$15/J$15)*D20+(E$15/J$15)*E20+(F$15/J$15)*F20+(G$15/J$15)*G20+(H$15/J$15)*H20+(I$15/J$15)*I20</f>
        <v>68.482142857142861</v>
      </c>
    </row>
    <row r="21" spans="2:14" x14ac:dyDescent="0.25">
      <c r="B21" s="76"/>
      <c r="C21" t="s">
        <v>76</v>
      </c>
      <c r="D21" s="53">
        <f t="shared" ref="D21:I21" si="2">D24/D15</f>
        <v>95</v>
      </c>
      <c r="E21" s="53">
        <f t="shared" si="2"/>
        <v>80</v>
      </c>
      <c r="F21" s="53">
        <f t="shared" si="2"/>
        <v>90</v>
      </c>
      <c r="G21" s="53">
        <f t="shared" si="2"/>
        <v>85</v>
      </c>
      <c r="H21" s="53">
        <f t="shared" si="2"/>
        <v>95</v>
      </c>
      <c r="I21" s="53">
        <f t="shared" si="2"/>
        <v>91.25</v>
      </c>
      <c r="L21" s="74"/>
      <c r="N21" s="120">
        <f>(D$15/J$15)*D21+(E$15/J$15)*E21+(F$15/J$15)*F21+(G$15/J$15)*G21+(H$15/J$15)*H21+(I$15/J$15)*I21</f>
        <v>89.077380952380949</v>
      </c>
    </row>
    <row r="22" spans="2:14" x14ac:dyDescent="0.25">
      <c r="B22" s="76"/>
      <c r="C22" t="s">
        <v>77</v>
      </c>
      <c r="D22" s="9">
        <f>D13*D18+D14*D19</f>
        <v>7500</v>
      </c>
      <c r="E22" s="9">
        <f t="shared" ref="E22:I22" si="3">E13*E18+E14*E19</f>
        <v>7200</v>
      </c>
      <c r="F22" s="9">
        <f t="shared" si="3"/>
        <v>28000</v>
      </c>
      <c r="G22" s="9">
        <f t="shared" si="3"/>
        <v>12000</v>
      </c>
      <c r="H22" s="9">
        <f t="shared" si="3"/>
        <v>2000</v>
      </c>
      <c r="I22" s="9">
        <f t="shared" si="3"/>
        <v>12500</v>
      </c>
      <c r="J22" s="9">
        <f t="shared" ref="J22:J23" si="4">SUM(D22:I22)</f>
        <v>69200</v>
      </c>
      <c r="K22" s="107">
        <f>J22/J$15</f>
        <v>20.595238095238095</v>
      </c>
      <c r="L22" s="68"/>
      <c r="M22" s="111"/>
    </row>
    <row r="23" spans="2:14" x14ac:dyDescent="0.25">
      <c r="B23" s="76"/>
      <c r="C23" t="s">
        <v>78</v>
      </c>
      <c r="D23" s="15">
        <f>D11*D16</f>
        <v>40000</v>
      </c>
      <c r="E23" s="15">
        <f t="shared" ref="E23:I23" si="5">E11*E16</f>
        <v>21600</v>
      </c>
      <c r="F23" s="15">
        <f t="shared" si="5"/>
        <v>98000</v>
      </c>
      <c r="G23" s="15">
        <f t="shared" si="5"/>
        <v>39000</v>
      </c>
      <c r="H23" s="15">
        <f t="shared" si="5"/>
        <v>7500</v>
      </c>
      <c r="I23" s="15">
        <f t="shared" si="5"/>
        <v>24000</v>
      </c>
      <c r="J23" s="9">
        <f t="shared" si="4"/>
        <v>230100</v>
      </c>
      <c r="K23" s="107">
        <f t="shared" ref="K23:K24" si="6">J23/J$15</f>
        <v>68.482142857142861</v>
      </c>
      <c r="L23" s="68"/>
      <c r="M23" s="111"/>
    </row>
    <row r="24" spans="2:14" x14ac:dyDescent="0.25">
      <c r="B24" s="76"/>
      <c r="C24" t="s">
        <v>79</v>
      </c>
      <c r="D24" s="9">
        <f>SUM(D22:D23)</f>
        <v>47500</v>
      </c>
      <c r="E24" s="9">
        <f t="shared" ref="E24:I24" si="7">SUM(E22:E23)</f>
        <v>28800</v>
      </c>
      <c r="F24" s="9">
        <f t="shared" si="7"/>
        <v>126000</v>
      </c>
      <c r="G24" s="9">
        <f t="shared" si="7"/>
        <v>51000</v>
      </c>
      <c r="H24" s="9">
        <f t="shared" si="7"/>
        <v>9500</v>
      </c>
      <c r="I24" s="9">
        <f t="shared" si="7"/>
        <v>36500</v>
      </c>
      <c r="J24" s="82">
        <f>SUM(D24:I24)</f>
        <v>299300</v>
      </c>
      <c r="K24" s="107">
        <f t="shared" si="6"/>
        <v>89.077380952380949</v>
      </c>
      <c r="L24" s="68"/>
      <c r="M24" s="111"/>
    </row>
    <row r="25" spans="2:14" x14ac:dyDescent="0.25">
      <c r="B25" s="76"/>
      <c r="D25"/>
      <c r="E25"/>
      <c r="J25" s="6"/>
      <c r="L25" s="74"/>
    </row>
    <row r="26" spans="2:14" x14ac:dyDescent="0.25">
      <c r="B26" s="76"/>
      <c r="C26" s="3" t="str">
        <f>C55</f>
        <v>客户 A</v>
      </c>
      <c r="D26" s="5">
        <f>D$15</f>
        <v>500</v>
      </c>
      <c r="E26" s="5">
        <f t="shared" ref="E26:I27" si="8">E$15</f>
        <v>360</v>
      </c>
      <c r="F26" s="5">
        <f t="shared" si="8"/>
        <v>1400</v>
      </c>
      <c r="G26" s="5">
        <f t="shared" si="8"/>
        <v>600</v>
      </c>
      <c r="H26" s="5">
        <f t="shared" si="8"/>
        <v>100</v>
      </c>
      <c r="I26" s="22"/>
      <c r="J26" s="5">
        <f>SUM(D26:I26)</f>
        <v>2960</v>
      </c>
      <c r="L26" s="74"/>
    </row>
    <row r="27" spans="2:14" x14ac:dyDescent="0.25">
      <c r="B27" s="76"/>
      <c r="C27" s="3" t="str">
        <f>C57</f>
        <v>客户 B</v>
      </c>
      <c r="I27" s="5">
        <f t="shared" si="8"/>
        <v>400</v>
      </c>
      <c r="J27" s="5">
        <f t="shared" ref="J27:J29" si="9">SUM(D27:I27)</f>
        <v>400</v>
      </c>
      <c r="L27" s="74"/>
    </row>
    <row r="28" spans="2:14" x14ac:dyDescent="0.25">
      <c r="B28" s="76"/>
      <c r="C28" s="3" t="str">
        <f>C59</f>
        <v>从仓库2运给客户A</v>
      </c>
      <c r="E28" s="5">
        <f t="shared" ref="E28:H29" si="10">E$15</f>
        <v>360</v>
      </c>
      <c r="F28" s="5">
        <f t="shared" si="10"/>
        <v>1400</v>
      </c>
      <c r="G28" s="5">
        <f t="shared" si="10"/>
        <v>600</v>
      </c>
      <c r="H28" s="5">
        <f t="shared" si="10"/>
        <v>100</v>
      </c>
      <c r="J28" s="5">
        <f t="shared" si="9"/>
        <v>2460</v>
      </c>
      <c r="L28" s="74"/>
    </row>
    <row r="29" spans="2:14" x14ac:dyDescent="0.25">
      <c r="B29" s="76"/>
      <c r="C29" s="3" t="str">
        <f>C62</f>
        <v>卡车运输，从仓库2运给客户A</v>
      </c>
      <c r="F29" s="5">
        <f t="shared" si="10"/>
        <v>1400</v>
      </c>
      <c r="G29" s="5">
        <f t="shared" si="10"/>
        <v>600</v>
      </c>
      <c r="H29" s="5">
        <f t="shared" si="10"/>
        <v>100</v>
      </c>
      <c r="J29" s="5">
        <f t="shared" si="9"/>
        <v>2100</v>
      </c>
      <c r="L29" s="74"/>
    </row>
    <row r="30" spans="2:14" x14ac:dyDescent="0.25">
      <c r="B30" s="76"/>
      <c r="C30" s="43"/>
      <c r="D30" s="43"/>
      <c r="E30" s="43"/>
      <c r="F30" s="43"/>
      <c r="G30" s="43"/>
      <c r="H30" s="43"/>
      <c r="I30" s="43"/>
      <c r="L30" s="74"/>
    </row>
    <row r="31" spans="2:14" x14ac:dyDescent="0.25">
      <c r="B31" s="76"/>
      <c r="C31" s="2" t="s">
        <v>102</v>
      </c>
      <c r="J31" s="6"/>
      <c r="L31" s="74"/>
    </row>
    <row r="32" spans="2:14" x14ac:dyDescent="0.25">
      <c r="B32" s="76"/>
      <c r="C32" s="3" t="str">
        <f t="shared" ref="C32:I36" si="11">C6</f>
        <v>客户记录</v>
      </c>
      <c r="D32" s="39">
        <f t="shared" si="11"/>
        <v>1</v>
      </c>
      <c r="E32" s="39">
        <f t="shared" si="11"/>
        <v>2</v>
      </c>
      <c r="F32" s="39">
        <f t="shared" si="11"/>
        <v>3</v>
      </c>
      <c r="G32" s="39">
        <f t="shared" si="11"/>
        <v>4</v>
      </c>
      <c r="H32" s="39">
        <f t="shared" si="11"/>
        <v>5</v>
      </c>
      <c r="I32" s="39">
        <f t="shared" si="11"/>
        <v>6</v>
      </c>
      <c r="L32" s="74"/>
    </row>
    <row r="33" spans="2:14" x14ac:dyDescent="0.25">
      <c r="B33" s="76"/>
      <c r="C33" s="3" t="str">
        <f t="shared" si="11"/>
        <v>客户</v>
      </c>
      <c r="D33" s="38" t="str">
        <f t="shared" si="11"/>
        <v>A</v>
      </c>
      <c r="E33" s="38" t="str">
        <f t="shared" si="11"/>
        <v>A</v>
      </c>
      <c r="F33" s="38" t="str">
        <f t="shared" si="11"/>
        <v>A</v>
      </c>
      <c r="G33" s="38" t="str">
        <f t="shared" si="11"/>
        <v>A</v>
      </c>
      <c r="H33" s="38" t="str">
        <f t="shared" si="11"/>
        <v>A</v>
      </c>
      <c r="I33" s="38" t="str">
        <f t="shared" si="11"/>
        <v>B</v>
      </c>
      <c r="L33" s="74"/>
    </row>
    <row r="34" spans="2:14" x14ac:dyDescent="0.25">
      <c r="B34" s="76"/>
      <c r="C34" s="3" t="str">
        <f t="shared" si="11"/>
        <v>仓库</v>
      </c>
      <c r="D34" s="38">
        <f t="shared" si="11"/>
        <v>1</v>
      </c>
      <c r="E34" s="38">
        <f t="shared" si="11"/>
        <v>2</v>
      </c>
      <c r="F34" s="38">
        <f t="shared" si="11"/>
        <v>2</v>
      </c>
      <c r="G34" s="38">
        <f t="shared" si="11"/>
        <v>2</v>
      </c>
      <c r="H34" s="38">
        <f t="shared" si="11"/>
        <v>2</v>
      </c>
      <c r="I34" s="38">
        <f t="shared" si="11"/>
        <v>3</v>
      </c>
      <c r="L34" s="74"/>
    </row>
    <row r="35" spans="2:14" x14ac:dyDescent="0.25">
      <c r="B35" s="76"/>
      <c r="C35" s="3" t="str">
        <f t="shared" si="11"/>
        <v>运输方式（后一段）</v>
      </c>
      <c r="D35" s="38" t="str">
        <f>D9</f>
        <v>卡车</v>
      </c>
      <c r="E35" s="38" t="str">
        <f t="shared" si="11"/>
        <v>铁路</v>
      </c>
      <c r="F35" s="38" t="str">
        <f t="shared" si="11"/>
        <v>卡车</v>
      </c>
      <c r="G35" s="38" t="str">
        <f t="shared" si="11"/>
        <v>卡车</v>
      </c>
      <c r="H35" s="38" t="str">
        <f t="shared" si="11"/>
        <v>卡车</v>
      </c>
      <c r="I35" s="38" t="str">
        <f t="shared" si="11"/>
        <v>铁路</v>
      </c>
      <c r="L35" s="74"/>
    </row>
    <row r="36" spans="2:14" x14ac:dyDescent="0.25">
      <c r="B36" s="76"/>
      <c r="C36" s="3" t="str">
        <f t="shared" si="11"/>
        <v>承运商（后一段）</v>
      </c>
      <c r="D36" s="39" t="str">
        <f t="shared" si="11"/>
        <v>卡车-1</v>
      </c>
      <c r="E36" s="39" t="str">
        <f t="shared" si="11"/>
        <v>铁路-1</v>
      </c>
      <c r="F36" s="39" t="str">
        <f t="shared" si="11"/>
        <v>卡车-2</v>
      </c>
      <c r="G36" s="39" t="str">
        <f t="shared" si="11"/>
        <v>卡车-3</v>
      </c>
      <c r="H36" s="39" t="str">
        <f t="shared" si="11"/>
        <v>卡车-4</v>
      </c>
      <c r="I36" s="39" t="str">
        <f t="shared" si="11"/>
        <v>铁路-2</v>
      </c>
      <c r="L36" s="74"/>
    </row>
    <row r="37" spans="2:14" x14ac:dyDescent="0.25">
      <c r="B37" s="76"/>
      <c r="C37" s="3" t="str">
        <f t="shared" ref="C37:C50" si="12">C11</f>
        <v>运输次数（后一段）</v>
      </c>
      <c r="D37" s="22">
        <v>40</v>
      </c>
      <c r="E37" s="22">
        <v>1</v>
      </c>
      <c r="F37" s="22">
        <v>100</v>
      </c>
      <c r="G37" s="83">
        <f>G11/10000000000</f>
        <v>3E-9</v>
      </c>
      <c r="H37" s="83">
        <f>H11/10000000000</f>
        <v>4.0000000000000001E-10</v>
      </c>
      <c r="I37" s="22">
        <v>10</v>
      </c>
      <c r="J37" s="77">
        <f>SUM(D37:I37)</f>
        <v>151.0000000034</v>
      </c>
      <c r="L37" s="74"/>
    </row>
    <row r="38" spans="2:14" x14ac:dyDescent="0.25">
      <c r="B38" s="76"/>
      <c r="C38" s="3" t="str">
        <f t="shared" si="12"/>
        <v>运输件数</v>
      </c>
      <c r="D38" s="22"/>
      <c r="E38" s="22"/>
      <c r="F38" s="22"/>
      <c r="G38" s="22"/>
      <c r="H38" s="22"/>
      <c r="I38" s="22"/>
      <c r="L38" s="74"/>
    </row>
    <row r="39" spans="2:14" x14ac:dyDescent="0.25">
      <c r="B39" s="76"/>
      <c r="C39" s="3" t="str">
        <f t="shared" si="12"/>
        <v xml:space="preserve">     工厂1</v>
      </c>
      <c r="D39" s="22">
        <v>800</v>
      </c>
      <c r="E39" s="22">
        <v>85</v>
      </c>
      <c r="F39" s="22">
        <v>2000</v>
      </c>
      <c r="G39" s="83">
        <f>G13/10000000000</f>
        <v>5.9999999999999995E-8</v>
      </c>
      <c r="H39" s="83">
        <f>H13/10000000000</f>
        <v>1E-8</v>
      </c>
      <c r="I39" s="22">
        <v>400</v>
      </c>
      <c r="J39" s="77">
        <f>SUM(D39:I39)</f>
        <v>3285.0000000699997</v>
      </c>
      <c r="L39" s="74"/>
    </row>
    <row r="40" spans="2:14" x14ac:dyDescent="0.25">
      <c r="B40" s="76"/>
      <c r="C40" s="3" t="str">
        <f t="shared" si="12"/>
        <v xml:space="preserve">     工厂2</v>
      </c>
      <c r="D40" s="4"/>
      <c r="E40" s="4"/>
      <c r="F40" s="4"/>
      <c r="G40" s="4"/>
      <c r="H40" s="4"/>
      <c r="I40" s="4">
        <v>400</v>
      </c>
      <c r="J40" s="7">
        <f>SUM(D40:I40)</f>
        <v>400</v>
      </c>
      <c r="L40" s="74"/>
    </row>
    <row r="41" spans="2:14" x14ac:dyDescent="0.25">
      <c r="B41" s="76"/>
      <c r="C41" s="3" t="str">
        <f t="shared" si="12"/>
        <v>总运输件数</v>
      </c>
      <c r="D41" s="5">
        <f>SUM(D39:D40)</f>
        <v>800</v>
      </c>
      <c r="E41" s="5">
        <f t="shared" ref="E41:I41" si="13">SUM(E39:E40)</f>
        <v>85</v>
      </c>
      <c r="F41" s="5">
        <f t="shared" si="13"/>
        <v>2000</v>
      </c>
      <c r="G41" s="84">
        <f t="shared" si="13"/>
        <v>5.9999999999999995E-8</v>
      </c>
      <c r="H41" s="84">
        <f t="shared" si="13"/>
        <v>1E-8</v>
      </c>
      <c r="I41" s="5">
        <f t="shared" si="13"/>
        <v>800</v>
      </c>
      <c r="J41" s="78">
        <f t="shared" ref="J41" si="14">SUM(J39:J40)</f>
        <v>3685.0000000699997</v>
      </c>
      <c r="L41" s="74"/>
      <c r="N41" s="121">
        <f>SUM(D41:I41)</f>
        <v>3685.0000000699997</v>
      </c>
    </row>
    <row r="42" spans="2:14" x14ac:dyDescent="0.25">
      <c r="B42" s="76"/>
      <c r="C42" s="3" t="str">
        <f t="shared" si="12"/>
        <v>每次运输成本（后一段）</v>
      </c>
      <c r="D42" s="79">
        <v>1600</v>
      </c>
      <c r="E42" s="79">
        <v>4250</v>
      </c>
      <c r="F42" s="79">
        <v>1400</v>
      </c>
      <c r="G42" s="79">
        <v>1300</v>
      </c>
      <c r="H42" s="79">
        <v>1875</v>
      </c>
      <c r="I42" s="79">
        <v>4800</v>
      </c>
      <c r="L42" s="74"/>
    </row>
    <row r="43" spans="2:14" x14ac:dyDescent="0.25">
      <c r="B43" s="76"/>
      <c r="C43" s="3" t="str">
        <f t="shared" si="12"/>
        <v>第一段单位成本</v>
      </c>
      <c r="E43"/>
      <c r="L43" s="74"/>
    </row>
    <row r="44" spans="2:14" x14ac:dyDescent="0.25">
      <c r="B44" s="76"/>
      <c r="C44" s="3" t="str">
        <f t="shared" si="12"/>
        <v xml:space="preserve">     工厂1</v>
      </c>
      <c r="D44" s="80">
        <v>15</v>
      </c>
      <c r="E44" s="80">
        <v>20</v>
      </c>
      <c r="F44" s="81">
        <v>20</v>
      </c>
      <c r="G44" s="80">
        <v>20</v>
      </c>
      <c r="H44" s="80">
        <v>20</v>
      </c>
      <c r="I44" s="80">
        <v>30</v>
      </c>
      <c r="L44" s="74"/>
    </row>
    <row r="45" spans="2:14" x14ac:dyDescent="0.25">
      <c r="B45" s="76"/>
      <c r="C45" s="3" t="str">
        <f t="shared" si="12"/>
        <v xml:space="preserve">     工厂2</v>
      </c>
      <c r="D45" s="80"/>
      <c r="E45" s="80"/>
      <c r="F45" s="80"/>
      <c r="G45" s="80"/>
      <c r="H45" s="80"/>
      <c r="I45" s="80">
        <v>35</v>
      </c>
      <c r="J45" s="6"/>
      <c r="L45" s="74"/>
    </row>
    <row r="46" spans="2:14" x14ac:dyDescent="0.25">
      <c r="B46" s="76"/>
      <c r="C46" s="3" t="str">
        <f t="shared" si="12"/>
        <v>后一段单位成本</v>
      </c>
      <c r="D46" s="8">
        <f>D49/D41</f>
        <v>80</v>
      </c>
      <c r="E46" s="8">
        <f t="shared" ref="E46:I46" si="15">E49/E41</f>
        <v>50</v>
      </c>
      <c r="F46" s="8">
        <f t="shared" si="15"/>
        <v>70</v>
      </c>
      <c r="G46" s="8">
        <f t="shared" si="15"/>
        <v>65</v>
      </c>
      <c r="H46" s="8">
        <f t="shared" si="15"/>
        <v>75</v>
      </c>
      <c r="I46" s="8">
        <f t="shared" si="15"/>
        <v>60</v>
      </c>
      <c r="L46" s="74"/>
      <c r="N46" s="120">
        <f>(D$41/J$41)*D46+(E$41/J$41)*E46+(F$41/J$41)*F46+(G$41/J$41)*G46+(H$41/J$41)*H46+(I$41/J$41)*I46</f>
        <v>69.538670284879871</v>
      </c>
    </row>
    <row r="47" spans="2:14" x14ac:dyDescent="0.25">
      <c r="B47" s="76"/>
      <c r="C47" s="3" t="str">
        <f t="shared" si="12"/>
        <v>单位成本总额</v>
      </c>
      <c r="D47" s="53">
        <f t="shared" ref="D47:H47" si="16">D50/D41</f>
        <v>95</v>
      </c>
      <c r="E47" s="53">
        <f t="shared" si="16"/>
        <v>70</v>
      </c>
      <c r="F47" s="53">
        <f t="shared" si="16"/>
        <v>90</v>
      </c>
      <c r="G47" s="53">
        <f t="shared" si="16"/>
        <v>85.000000000000014</v>
      </c>
      <c r="H47" s="53">
        <f t="shared" si="16"/>
        <v>95</v>
      </c>
      <c r="I47" s="53">
        <f>I50/I41</f>
        <v>92.5</v>
      </c>
      <c r="L47" s="74"/>
      <c r="N47" s="120">
        <f>(D$41/J$41)*D47+(E$41/J$41)*E47+(F$41/J$41)*F47+(G$41/J$41)*G47+(H$41/J$41)*H47+(I$41/J$41)*I47</f>
        <v>91.166892808593857</v>
      </c>
    </row>
    <row r="48" spans="2:14" x14ac:dyDescent="0.25">
      <c r="B48" s="76"/>
      <c r="C48" s="3" t="str">
        <f t="shared" si="12"/>
        <v>第一段成本总额</v>
      </c>
      <c r="D48" s="9">
        <f>D39*D44+D40*D45</f>
        <v>12000</v>
      </c>
      <c r="E48" s="9">
        <f t="shared" ref="E48:I48" si="17">E39*E44+E40*E45</f>
        <v>1700</v>
      </c>
      <c r="F48" s="9">
        <f t="shared" si="17"/>
        <v>40000</v>
      </c>
      <c r="G48" s="9">
        <f t="shared" si="17"/>
        <v>1.1999999999999999E-6</v>
      </c>
      <c r="H48" s="9">
        <f t="shared" si="17"/>
        <v>1.9999999999999999E-7</v>
      </c>
      <c r="I48" s="9">
        <f t="shared" si="17"/>
        <v>26000</v>
      </c>
      <c r="J48" s="9">
        <f t="shared" ref="J48:J49" si="18">SUM(D48:I48)</f>
        <v>79700.000001400011</v>
      </c>
      <c r="K48" s="107">
        <f>J48/J$41</f>
        <v>21.628222523713987</v>
      </c>
      <c r="L48" s="68"/>
      <c r="M48" s="111"/>
    </row>
    <row r="49" spans="1:13" x14ac:dyDescent="0.25">
      <c r="B49" s="76"/>
      <c r="C49" s="3" t="str">
        <f t="shared" si="12"/>
        <v>后一段成本总额</v>
      </c>
      <c r="D49" s="15">
        <f>D37*D42</f>
        <v>64000</v>
      </c>
      <c r="E49" s="15">
        <f t="shared" ref="E49:I49" si="19">E37*E42</f>
        <v>4250</v>
      </c>
      <c r="F49" s="15">
        <f t="shared" si="19"/>
        <v>140000</v>
      </c>
      <c r="G49" s="15">
        <f t="shared" si="19"/>
        <v>3.8999999999999999E-6</v>
      </c>
      <c r="H49" s="15">
        <f t="shared" si="19"/>
        <v>7.5000000000000002E-7</v>
      </c>
      <c r="I49" s="15">
        <f t="shared" si="19"/>
        <v>48000</v>
      </c>
      <c r="J49" s="9">
        <f t="shared" si="18"/>
        <v>256250.00000465001</v>
      </c>
      <c r="K49" s="107">
        <f t="shared" ref="K49:K50" si="20">J49/J$41</f>
        <v>69.538670284879871</v>
      </c>
      <c r="L49" s="68"/>
      <c r="M49" s="111"/>
    </row>
    <row r="50" spans="1:13" x14ac:dyDescent="0.25">
      <c r="B50" s="76"/>
      <c r="C50" s="3" t="str">
        <f t="shared" si="12"/>
        <v>总成本</v>
      </c>
      <c r="D50" s="9">
        <f>SUM(D48:D49)</f>
        <v>76000</v>
      </c>
      <c r="E50" s="9">
        <f t="shared" ref="E50:I50" si="21">SUM(E48:E49)</f>
        <v>5950</v>
      </c>
      <c r="F50" s="9">
        <f t="shared" si="21"/>
        <v>180000</v>
      </c>
      <c r="G50" s="9">
        <f t="shared" si="21"/>
        <v>5.1000000000000003E-6</v>
      </c>
      <c r="H50" s="9">
        <f t="shared" si="21"/>
        <v>9.5000000000000001E-7</v>
      </c>
      <c r="I50" s="9">
        <f t="shared" si="21"/>
        <v>74000</v>
      </c>
      <c r="J50" s="82">
        <f>SUM(D50:I50)</f>
        <v>335950.00000604999</v>
      </c>
      <c r="K50" s="107">
        <f t="shared" si="20"/>
        <v>91.166892808593843</v>
      </c>
      <c r="L50" s="68"/>
      <c r="M50" s="111"/>
    </row>
    <row r="51" spans="1:13" x14ac:dyDescent="0.25">
      <c r="B51" s="76"/>
      <c r="C51" s="177" t="s">
        <v>279</v>
      </c>
      <c r="D51" s="23"/>
      <c r="E51" s="23"/>
      <c r="F51" s="23"/>
      <c r="G51" s="23"/>
      <c r="H51" s="23"/>
      <c r="I51" s="23"/>
      <c r="J51" s="130"/>
      <c r="K51" s="111"/>
      <c r="L51" s="68"/>
      <c r="M51" s="111"/>
    </row>
    <row r="52" spans="1:13" x14ac:dyDescent="0.25">
      <c r="B52" s="76"/>
      <c r="C52" s="182" t="s">
        <v>280</v>
      </c>
      <c r="D52" s="23"/>
      <c r="E52" s="23"/>
      <c r="F52" s="23"/>
      <c r="G52" s="23"/>
      <c r="H52" s="23"/>
      <c r="I52" s="23"/>
      <c r="J52" s="130"/>
      <c r="K52" s="111"/>
      <c r="L52" s="68"/>
      <c r="M52" s="111"/>
    </row>
    <row r="53" spans="1:13" ht="14.4" thickBot="1" x14ac:dyDescent="0.3">
      <c r="B53" s="69"/>
      <c r="C53" s="95"/>
      <c r="D53" s="125"/>
      <c r="E53" s="125"/>
      <c r="F53" s="125"/>
      <c r="G53" s="125"/>
      <c r="H53" s="125"/>
      <c r="I53" s="125"/>
      <c r="J53" s="126"/>
      <c r="K53" s="127"/>
      <c r="L53" s="128"/>
      <c r="M53" s="111"/>
    </row>
    <row r="54" spans="1:13" x14ac:dyDescent="0.25">
      <c r="D54" s="23"/>
      <c r="E54" s="23"/>
      <c r="F54" s="23"/>
      <c r="G54" s="23"/>
      <c r="H54" s="23"/>
      <c r="I54" s="23"/>
      <c r="J54" s="130"/>
      <c r="K54" s="111"/>
      <c r="L54" s="111"/>
      <c r="M54" s="111"/>
    </row>
    <row r="55" spans="1:13" x14ac:dyDescent="0.25">
      <c r="C55" t="s">
        <v>130</v>
      </c>
      <c r="D55" s="5">
        <f>D$41</f>
        <v>800</v>
      </c>
      <c r="E55" s="5">
        <f t="shared" ref="E55:I62" si="22">E$41</f>
        <v>85</v>
      </c>
      <c r="F55" s="5">
        <f t="shared" si="22"/>
        <v>2000</v>
      </c>
      <c r="G55" s="5">
        <f t="shared" si="22"/>
        <v>5.9999999999999995E-8</v>
      </c>
      <c r="H55" s="5">
        <f t="shared" si="22"/>
        <v>1E-8</v>
      </c>
      <c r="J55" s="5">
        <f>SUM(D55:I55)</f>
        <v>2885.0000000699997</v>
      </c>
    </row>
    <row r="56" spans="1:13" x14ac:dyDescent="0.25">
      <c r="A56" s="11"/>
      <c r="C56" s="11" t="s">
        <v>86</v>
      </c>
      <c r="D56" s="9">
        <f>D$50</f>
        <v>76000</v>
      </c>
      <c r="E56" s="9">
        <f t="shared" ref="E56:I58" si="23">E$50</f>
        <v>5950</v>
      </c>
      <c r="F56" s="9">
        <f t="shared" si="23"/>
        <v>180000</v>
      </c>
      <c r="G56" s="9">
        <f t="shared" si="23"/>
        <v>5.1000000000000003E-6</v>
      </c>
      <c r="H56" s="9">
        <f t="shared" si="23"/>
        <v>9.5000000000000001E-7</v>
      </c>
      <c r="J56" s="9">
        <f>SUM(D56:I56)</f>
        <v>261950.00000605002</v>
      </c>
      <c r="K56" s="24">
        <f>J56/J55</f>
        <v>90.797227036289158</v>
      </c>
      <c r="L56" s="111"/>
      <c r="M56" s="50"/>
    </row>
    <row r="57" spans="1:13" x14ac:dyDescent="0.25">
      <c r="C57" t="s">
        <v>131</v>
      </c>
      <c r="D57"/>
      <c r="E57"/>
      <c r="I57" s="5">
        <f t="shared" si="22"/>
        <v>800</v>
      </c>
      <c r="J57" s="5">
        <f t="shared" ref="J57:J63" si="24">SUM(D57:I57)</f>
        <v>800</v>
      </c>
    </row>
    <row r="58" spans="1:13" x14ac:dyDescent="0.25">
      <c r="A58" s="11"/>
      <c r="C58" s="11" t="s">
        <v>86</v>
      </c>
      <c r="D58"/>
      <c r="E58"/>
      <c r="I58" s="9">
        <f t="shared" si="23"/>
        <v>74000</v>
      </c>
      <c r="J58" s="9">
        <f t="shared" si="24"/>
        <v>74000</v>
      </c>
      <c r="K58" s="24">
        <f>J58/J57</f>
        <v>92.5</v>
      </c>
      <c r="L58" s="111"/>
      <c r="M58" s="50"/>
    </row>
    <row r="59" spans="1:13" x14ac:dyDescent="0.25">
      <c r="C59" t="s">
        <v>132</v>
      </c>
      <c r="D59"/>
      <c r="E59" s="5">
        <f t="shared" si="22"/>
        <v>85</v>
      </c>
      <c r="F59" s="5">
        <f t="shared" si="22"/>
        <v>2000</v>
      </c>
      <c r="G59" s="5">
        <f t="shared" si="22"/>
        <v>5.9999999999999995E-8</v>
      </c>
      <c r="H59" s="5">
        <f t="shared" si="22"/>
        <v>1E-8</v>
      </c>
      <c r="J59" s="5">
        <f t="shared" si="24"/>
        <v>2085.0000000699997</v>
      </c>
    </row>
    <row r="60" spans="1:13" x14ac:dyDescent="0.25">
      <c r="C60" s="11" t="s">
        <v>133</v>
      </c>
      <c r="D60"/>
      <c r="E60" s="9">
        <f>E48</f>
        <v>1700</v>
      </c>
      <c r="F60" s="9">
        <f t="shared" ref="F60:H60" si="25">F48</f>
        <v>40000</v>
      </c>
      <c r="G60" s="9">
        <f t="shared" si="25"/>
        <v>1.1999999999999999E-6</v>
      </c>
      <c r="H60" s="9">
        <f t="shared" si="25"/>
        <v>1.9999999999999999E-7</v>
      </c>
      <c r="J60" s="9">
        <f t="shared" si="24"/>
        <v>41700.000001400003</v>
      </c>
      <c r="K60" s="24">
        <f>J60/J59</f>
        <v>20.000000000000004</v>
      </c>
      <c r="L60" s="111"/>
      <c r="M60" s="50"/>
    </row>
    <row r="61" spans="1:13" x14ac:dyDescent="0.25">
      <c r="C61" s="11" t="s">
        <v>86</v>
      </c>
      <c r="D61"/>
      <c r="E61" s="9">
        <f>E$49</f>
        <v>4250</v>
      </c>
      <c r="F61" s="9">
        <f t="shared" ref="F61:H61" si="26">F$49</f>
        <v>140000</v>
      </c>
      <c r="G61" s="9">
        <f t="shared" si="26"/>
        <v>3.8999999999999999E-6</v>
      </c>
      <c r="H61" s="9">
        <f t="shared" si="26"/>
        <v>7.5000000000000002E-7</v>
      </c>
      <c r="J61" s="9">
        <f t="shared" si="24"/>
        <v>144250.00000465001</v>
      </c>
      <c r="K61" s="24">
        <f>J61/J59</f>
        <v>69.18465227808494</v>
      </c>
      <c r="L61" s="148"/>
      <c r="M61" s="149"/>
    </row>
    <row r="62" spans="1:13" x14ac:dyDescent="0.25">
      <c r="C62" t="s">
        <v>134</v>
      </c>
      <c r="D62"/>
      <c r="E62"/>
      <c r="F62" s="5">
        <f t="shared" si="22"/>
        <v>2000</v>
      </c>
      <c r="G62" s="5">
        <f t="shared" si="22"/>
        <v>5.9999999999999995E-8</v>
      </c>
      <c r="H62" s="5">
        <f t="shared" si="22"/>
        <v>1E-8</v>
      </c>
      <c r="J62" s="5">
        <f t="shared" si="24"/>
        <v>2000.0000000699999</v>
      </c>
    </row>
    <row r="63" spans="1:13" x14ac:dyDescent="0.25">
      <c r="C63" s="11" t="s">
        <v>86</v>
      </c>
      <c r="D63"/>
      <c r="E63"/>
      <c r="F63" s="9">
        <f>F$49</f>
        <v>140000</v>
      </c>
      <c r="G63" s="9">
        <f t="shared" ref="G63:H63" si="27">G$49</f>
        <v>3.8999999999999999E-6</v>
      </c>
      <c r="H63" s="9">
        <f t="shared" si="27"/>
        <v>7.5000000000000002E-7</v>
      </c>
      <c r="J63" s="9">
        <f t="shared" si="24"/>
        <v>140000.00000465001</v>
      </c>
      <c r="K63" s="24">
        <f>J63/J62</f>
        <v>69.999999999875001</v>
      </c>
      <c r="L63" s="111"/>
      <c r="M63" s="50"/>
    </row>
    <row r="64" spans="1:13" x14ac:dyDescent="0.25">
      <c r="D64"/>
      <c r="E64"/>
    </row>
    <row r="65" spans="4:5" x14ac:dyDescent="0.25">
      <c r="D65"/>
      <c r="E65"/>
    </row>
    <row r="66" spans="4:5" x14ac:dyDescent="0.25">
      <c r="D66"/>
      <c r="E66"/>
    </row>
  </sheetData>
  <phoneticPr fontId="13" type="noConversion"/>
  <pageMargins left="0.39370078740157483" right="0.39370078740157483" top="0.59055118110236227" bottom="0.59055118110236227" header="0.31496062992125984" footer="0.31496062992125984"/>
  <pageSetup paperSize="9" orientation="landscape" r:id="rId1"/>
  <headerFooter>
    <oddHeader>&amp;F</oddHeader>
    <oddFooter>&amp;A</oddFooter>
  </headerFooter>
  <ignoredErrors>
    <ignoredError sqref="E61:H61 F62:H6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zoomScale="110" zoomScaleNormal="110" workbookViewId="0">
      <selection activeCell="D53" sqref="D53"/>
    </sheetView>
  </sheetViews>
  <sheetFormatPr defaultRowHeight="13.8" x14ac:dyDescent="0.25"/>
  <cols>
    <col min="1" max="2" width="1.77734375" customWidth="1"/>
    <col min="3" max="3" width="25" customWidth="1"/>
    <col min="4" max="10" width="9.6640625" customWidth="1"/>
    <col min="11" max="12" width="1.77734375" customWidth="1"/>
    <col min="14" max="14" width="14.44140625" customWidth="1"/>
    <col min="15" max="15" width="25.77734375" customWidth="1"/>
    <col min="16" max="22" width="9.77734375" customWidth="1"/>
  </cols>
  <sheetData>
    <row r="1" spans="2:11" ht="14.4" thickBot="1" x14ac:dyDescent="0.3"/>
    <row r="2" spans="2:11" x14ac:dyDescent="0.25">
      <c r="B2" s="66"/>
      <c r="C2" s="73"/>
      <c r="D2" s="73"/>
      <c r="E2" s="73"/>
      <c r="F2" s="73"/>
      <c r="G2" s="73"/>
      <c r="H2" s="73"/>
      <c r="I2" s="73"/>
      <c r="J2" s="73"/>
      <c r="K2" s="67"/>
    </row>
    <row r="3" spans="2:11" x14ac:dyDescent="0.25">
      <c r="B3" s="76"/>
      <c r="C3" s="2" t="s">
        <v>143</v>
      </c>
      <c r="K3" s="74"/>
    </row>
    <row r="4" spans="2:11" x14ac:dyDescent="0.25">
      <c r="B4" s="76"/>
      <c r="K4" s="74"/>
    </row>
    <row r="5" spans="2:11" x14ac:dyDescent="0.25">
      <c r="B5" s="76"/>
      <c r="C5" s="2" t="s">
        <v>144</v>
      </c>
      <c r="K5" s="74"/>
    </row>
    <row r="6" spans="2:11" x14ac:dyDescent="0.25">
      <c r="B6" s="76"/>
      <c r="K6" s="74"/>
    </row>
    <row r="7" spans="2:11" x14ac:dyDescent="0.25">
      <c r="B7" s="76"/>
      <c r="C7" t="s">
        <v>145</v>
      </c>
      <c r="K7" s="74"/>
    </row>
    <row r="8" spans="2:11" x14ac:dyDescent="0.25">
      <c r="B8" s="76"/>
      <c r="C8" t="s">
        <v>146</v>
      </c>
      <c r="F8" s="53">
        <f>表A1!D46</f>
        <v>80</v>
      </c>
      <c r="K8" s="74"/>
    </row>
    <row r="9" spans="2:11" x14ac:dyDescent="0.25">
      <c r="B9" s="76"/>
      <c r="C9" t="s">
        <v>147</v>
      </c>
      <c r="F9" s="53">
        <f>表A1!K61</f>
        <v>69.18465227808494</v>
      </c>
      <c r="K9" s="74"/>
    </row>
    <row r="10" spans="2:11" x14ac:dyDescent="0.25">
      <c r="B10" s="76"/>
      <c r="C10" t="s">
        <v>148</v>
      </c>
      <c r="F10" s="53">
        <f>表A1!I46</f>
        <v>60</v>
      </c>
      <c r="K10" s="74"/>
    </row>
    <row r="11" spans="2:11" x14ac:dyDescent="0.25">
      <c r="B11" s="76"/>
      <c r="C11" t="s">
        <v>149</v>
      </c>
      <c r="K11" s="74"/>
    </row>
    <row r="12" spans="2:11" x14ac:dyDescent="0.25">
      <c r="B12" s="76"/>
      <c r="C12" t="s">
        <v>150</v>
      </c>
      <c r="F12" s="53">
        <f>表A1!D46</f>
        <v>80</v>
      </c>
      <c r="K12" s="74"/>
    </row>
    <row r="13" spans="2:11" x14ac:dyDescent="0.25">
      <c r="B13" s="76"/>
      <c r="C13" t="s">
        <v>151</v>
      </c>
      <c r="F13" s="53">
        <f>表A1!K63</f>
        <v>69.999999999875001</v>
      </c>
      <c r="K13" s="74"/>
    </row>
    <row r="14" spans="2:11" x14ac:dyDescent="0.25">
      <c r="B14" s="76"/>
      <c r="C14" t="s">
        <v>152</v>
      </c>
      <c r="F14" s="53">
        <f>表A1!E46</f>
        <v>50</v>
      </c>
      <c r="K14" s="74"/>
    </row>
    <row r="15" spans="2:11" x14ac:dyDescent="0.25">
      <c r="B15" s="76"/>
      <c r="C15" t="s">
        <v>153</v>
      </c>
      <c r="F15" s="53">
        <f>表A1!I46</f>
        <v>60</v>
      </c>
      <c r="K15" s="74"/>
    </row>
    <row r="16" spans="2:11" x14ac:dyDescent="0.25">
      <c r="B16" s="76"/>
      <c r="K16" s="74"/>
    </row>
    <row r="17" spans="2:13" x14ac:dyDescent="0.25">
      <c r="B17" s="76"/>
      <c r="C17" s="183" t="s">
        <v>275</v>
      </c>
      <c r="K17" s="74"/>
    </row>
    <row r="18" spans="2:13" x14ac:dyDescent="0.25">
      <c r="B18" s="76"/>
      <c r="K18" s="74"/>
    </row>
    <row r="19" spans="2:13" x14ac:dyDescent="0.25">
      <c r="B19" s="76"/>
      <c r="C19" s="14" t="str">
        <f>表A1!C6</f>
        <v>客户记录</v>
      </c>
      <c r="D19" s="38">
        <f>表A1!D6</f>
        <v>1</v>
      </c>
      <c r="E19" s="38">
        <f>表A1!E6</f>
        <v>2</v>
      </c>
      <c r="F19" s="38">
        <f>表A1!F6</f>
        <v>3</v>
      </c>
      <c r="G19" s="38">
        <f>表A1!G6</f>
        <v>4</v>
      </c>
      <c r="H19" s="38">
        <f>表A1!H6</f>
        <v>5</v>
      </c>
      <c r="I19" s="38">
        <f>表A1!I6</f>
        <v>6</v>
      </c>
      <c r="K19" s="74"/>
    </row>
    <row r="20" spans="2:13" x14ac:dyDescent="0.25">
      <c r="B20" s="76"/>
      <c r="C20" s="14" t="str">
        <f>表A1!C7</f>
        <v>客户</v>
      </c>
      <c r="D20" s="38" t="str">
        <f>表A1!D7</f>
        <v>A</v>
      </c>
      <c r="E20" s="38" t="str">
        <f>表A1!E7</f>
        <v>A</v>
      </c>
      <c r="F20" s="38" t="str">
        <f>表A1!F7</f>
        <v>A</v>
      </c>
      <c r="G20" s="38" t="str">
        <f>表A1!G7</f>
        <v>A</v>
      </c>
      <c r="H20" s="38" t="str">
        <f>表A1!H7</f>
        <v>A</v>
      </c>
      <c r="I20" s="38" t="str">
        <f>表A1!I7</f>
        <v>B</v>
      </c>
      <c r="K20" s="74"/>
    </row>
    <row r="21" spans="2:13" x14ac:dyDescent="0.25">
      <c r="B21" s="76"/>
      <c r="C21" s="14" t="str">
        <f>表A1!C8</f>
        <v>仓库</v>
      </c>
      <c r="D21" s="38">
        <f>表A1!D8</f>
        <v>1</v>
      </c>
      <c r="E21" s="38">
        <f>表A1!E8</f>
        <v>2</v>
      </c>
      <c r="F21" s="38">
        <f>表A1!F8</f>
        <v>2</v>
      </c>
      <c r="G21" s="38">
        <f>表A1!G8</f>
        <v>2</v>
      </c>
      <c r="H21" s="38">
        <f>表A1!H8</f>
        <v>2</v>
      </c>
      <c r="I21" s="38">
        <f>表A1!I8</f>
        <v>3</v>
      </c>
      <c r="K21" s="74"/>
    </row>
    <row r="22" spans="2:13" x14ac:dyDescent="0.25">
      <c r="B22" s="76"/>
      <c r="C22" s="14" t="str">
        <f>表A1!C9</f>
        <v>运输方式（后一段）</v>
      </c>
      <c r="D22" s="38" t="s">
        <v>37</v>
      </c>
      <c r="E22" s="38" t="s">
        <v>38</v>
      </c>
      <c r="F22" s="38" t="s">
        <v>37</v>
      </c>
      <c r="G22" s="38" t="s">
        <v>37</v>
      </c>
      <c r="H22" s="38" t="s">
        <v>37</v>
      </c>
      <c r="I22" s="38" t="s">
        <v>38</v>
      </c>
      <c r="K22" s="74"/>
    </row>
    <row r="23" spans="2:13" x14ac:dyDescent="0.25">
      <c r="B23" s="76"/>
      <c r="C23" s="14" t="str">
        <f>表A1!C10</f>
        <v>承运商（后一段）</v>
      </c>
      <c r="D23" s="38" t="s">
        <v>44</v>
      </c>
      <c r="E23" s="38" t="s">
        <v>43</v>
      </c>
      <c r="F23" s="38" t="s">
        <v>41</v>
      </c>
      <c r="G23" s="38" t="s">
        <v>42</v>
      </c>
      <c r="H23" s="38" t="s">
        <v>40</v>
      </c>
      <c r="I23" s="38" t="s">
        <v>39</v>
      </c>
      <c r="K23" s="74"/>
    </row>
    <row r="24" spans="2:13" x14ac:dyDescent="0.25">
      <c r="B24" s="76"/>
      <c r="C24" t="s">
        <v>154</v>
      </c>
      <c r="K24" s="74"/>
    </row>
    <row r="25" spans="2:13" x14ac:dyDescent="0.25">
      <c r="B25" s="76"/>
      <c r="C25" t="s">
        <v>155</v>
      </c>
      <c r="D25" s="10">
        <f>(表A1!D13-表A1!D39/表A1!$J55*表A1!$J26)*表A1!D44+(表A1!D14-表A1!D40/表A1!$J55*表A1!$J26)*表A1!D45</f>
        <v>-4811.9584052471973</v>
      </c>
      <c r="E25" s="10">
        <f>(表A1!E13-表A1!E39/表A1!$J55*表A1!$J26)*表A1!E44+(表A1!E14-表A1!E40/表A1!$J55*表A1!$J26)*表A1!E45</f>
        <v>5455.8058925899804</v>
      </c>
      <c r="F25" s="10">
        <f>(表A1!F13-表A1!F39/表A1!$J55*表A1!$J26)*表A1!F44+(表A1!F14-表A1!F40/表A1!$J55*表A1!$J26)*表A1!F45</f>
        <v>-13039.861350823994</v>
      </c>
      <c r="G25" s="10">
        <f>(表A1!G13-表A1!G39/表A1!$J55*表A1!$J26)*表A1!G44+(表A1!G14-表A1!G40/表A1!$J55*表A1!$J26)*表A1!G45</f>
        <v>11999.999998768802</v>
      </c>
      <c r="H25" s="10">
        <f>(表A1!H13-表A1!H39/表A1!$J55*表A1!$J26)*表A1!H44+(表A1!H14-表A1!H40/表A1!$J55*表A1!$J26)*表A1!H45</f>
        <v>1999.9999997948007</v>
      </c>
      <c r="I25" s="10">
        <f>(表A1!I13-表A1!I39/表A1!$J57*表A1!$J27)*表A1!I44+(表A1!I14-表A1!I40/表A1!$J57*表A1!$J27)*表A1!I45</f>
        <v>-500</v>
      </c>
      <c r="J25" s="10">
        <f>SUM(D25:I25)</f>
        <v>1103.986135082393</v>
      </c>
      <c r="K25" s="145"/>
      <c r="L25" s="21"/>
    </row>
    <row r="26" spans="2:13" x14ac:dyDescent="0.25">
      <c r="B26" s="76"/>
      <c r="C26" t="s">
        <v>156</v>
      </c>
      <c r="D26" s="10">
        <f>(表A1!D15-(表A1!D41)/表A1!$J55*表A1!$J26)*表A1!$D46</f>
        <v>-25663.778161318387</v>
      </c>
      <c r="E26" s="10">
        <f>(表A1!E15-(表A1!E41)/表A1!$J55*表A1!$J26)*表A1!$K61</f>
        <v>18872.901678778235</v>
      </c>
      <c r="F26" s="10">
        <f>(表A1!F15-(表A1!F41)/表A1!$J55*表A1!$J26)*表A1!$K61</f>
        <v>-45107.913665559849</v>
      </c>
      <c r="G26" s="10">
        <f>(表A1!G15-(表A1!G41)/表A1!$J55*表A1!$J26)*表A1!$K61</f>
        <v>41510.791362591968</v>
      </c>
      <c r="H26" s="10">
        <f>(表A1!H15-(表A1!H41)/表A1!$J55*表A1!$J26)*表A1!$K61</f>
        <v>6918.4652270986617</v>
      </c>
      <c r="I26" s="10">
        <f>(表A1!I15-(表A1!I41)/表A1!$J57*表A1!$J27)*表A1!$I46</f>
        <v>0</v>
      </c>
      <c r="J26" s="10">
        <f t="shared" ref="J26:J28" si="0">SUM(D26:I26)</f>
        <v>-3469.5335584093709</v>
      </c>
      <c r="K26" s="145"/>
      <c r="L26" s="21"/>
      <c r="M26" s="16">
        <f>'表 A3'!M20</f>
        <v>-3469.5335586247529</v>
      </c>
    </row>
    <row r="27" spans="2:13" x14ac:dyDescent="0.25">
      <c r="B27" s="76"/>
      <c r="C27" t="s">
        <v>157</v>
      </c>
      <c r="D27" s="10"/>
      <c r="E27" s="10">
        <f>(表A1!E15-(表A1!E41/表A1!$J59*表A1!$J28))*表A1!$E46</f>
        <v>12985.611510959718</v>
      </c>
      <c r="F27" s="10">
        <f>(表A1!F15-(表A1!F41/表A1!$J59*表A1!$J28))*表A1!$K63</f>
        <v>-67179.856109442379</v>
      </c>
      <c r="G27" s="10">
        <f>(表A1!G15-(表A1!G41/表A1!$J59*表A1!$J28))*表A1!$K63</f>
        <v>41999.999994969607</v>
      </c>
      <c r="H27" s="10">
        <f>(表A1!H15-(表A1!H41/表A1!$J59*表A1!$J28))*表A1!$K63</f>
        <v>6999.9999991616005</v>
      </c>
      <c r="I27" s="10"/>
      <c r="J27" s="10">
        <f t="shared" si="0"/>
        <v>-5194.2446043514556</v>
      </c>
      <c r="K27" s="145"/>
      <c r="L27" s="21"/>
      <c r="M27" s="16">
        <f>'表 A3'!M33</f>
        <v>-5194.2446043165564</v>
      </c>
    </row>
    <row r="28" spans="2:13" x14ac:dyDescent="0.25">
      <c r="B28" s="76"/>
      <c r="C28" t="s">
        <v>158</v>
      </c>
      <c r="D28" s="12"/>
      <c r="E28" s="12"/>
      <c r="F28" s="12">
        <f>(表A1!F15-(表A1!F41/表A1!$J62*表A1!$J29))*表A1!F46</f>
        <v>-48999.99999485501</v>
      </c>
      <c r="G28" s="12">
        <f>(表A1!G15-(表A1!G41/表A1!$J62*表A1!$J29))*表A1!G46</f>
        <v>38999.999995904996</v>
      </c>
      <c r="H28" s="12">
        <f>(表A1!H15-(表A1!H41/表A1!$J62*表A1!$J29))*表A1!H46</f>
        <v>7499.9999992124995</v>
      </c>
      <c r="I28" s="12"/>
      <c r="J28" s="12">
        <f t="shared" si="0"/>
        <v>-2499.9999997375144</v>
      </c>
      <c r="K28" s="145"/>
      <c r="L28" s="21"/>
      <c r="M28" s="16">
        <f>'表 A3'!M49</f>
        <v>-2500.0000000000155</v>
      </c>
    </row>
    <row r="29" spans="2:13" x14ac:dyDescent="0.25">
      <c r="B29" s="76"/>
      <c r="C29" t="s">
        <v>159</v>
      </c>
      <c r="D29" s="10">
        <f>SUM(D25:D28)</f>
        <v>-30475.736566565585</v>
      </c>
      <c r="E29" s="10">
        <f t="shared" ref="E29:I29" si="1">SUM(E25:E28)</f>
        <v>37314.319082327929</v>
      </c>
      <c r="F29" s="10">
        <f t="shared" si="1"/>
        <v>-174327.63112068124</v>
      </c>
      <c r="G29" s="10">
        <f t="shared" si="1"/>
        <v>134510.79135223536</v>
      </c>
      <c r="H29" s="10">
        <f t="shared" si="1"/>
        <v>23418.465225267562</v>
      </c>
      <c r="I29" s="10">
        <f t="shared" si="1"/>
        <v>-500</v>
      </c>
      <c r="J29" s="10">
        <f>SUM(J25:J28)</f>
        <v>-10059.792027415948</v>
      </c>
      <c r="K29" s="145"/>
      <c r="L29" s="21"/>
      <c r="M29" s="16">
        <f>SUM(D29:I29)</f>
        <v>-10059.792027415981</v>
      </c>
    </row>
    <row r="30" spans="2:13" x14ac:dyDescent="0.25">
      <c r="B30" s="76"/>
      <c r="C30" t="s">
        <v>126</v>
      </c>
      <c r="K30" s="74"/>
    </row>
    <row r="31" spans="2:13" x14ac:dyDescent="0.25">
      <c r="B31" s="76"/>
      <c r="C31" t="s">
        <v>160</v>
      </c>
      <c r="D31" s="10">
        <f>(表A1!D16-表A1!D42)*表A1!D11</f>
        <v>0</v>
      </c>
      <c r="E31" s="10">
        <f>(表A1!E16-表A1!E42)*表A1!E11</f>
        <v>350</v>
      </c>
      <c r="F31" s="10">
        <f>(表A1!F16-表A1!F42)*表A1!F11</f>
        <v>0</v>
      </c>
      <c r="G31" s="10">
        <f>(表A1!G16-表A1!G42)*表A1!G11</f>
        <v>0</v>
      </c>
      <c r="H31" s="10">
        <f>(表A1!H16-表A1!H42)*表A1!H11</f>
        <v>0</v>
      </c>
      <c r="I31" s="10">
        <f>(表A1!I16-表A1!I42)*表A1!I11</f>
        <v>0</v>
      </c>
      <c r="J31" s="10">
        <f>SUM(D31:I31)</f>
        <v>350</v>
      </c>
      <c r="K31" s="145"/>
      <c r="L31" s="21"/>
    </row>
    <row r="32" spans="2:13" x14ac:dyDescent="0.25">
      <c r="B32" s="76"/>
      <c r="C32" t="s">
        <v>161</v>
      </c>
      <c r="D32" s="12">
        <f>(表A1!D11-(表A1!D15/表A1!D41*表A1!D37))*表A1!D42</f>
        <v>0</v>
      </c>
      <c r="E32" s="12">
        <f>(表A1!E11-(表A1!E15/表A1!E41*表A1!E37))*表A1!E42</f>
        <v>3250</v>
      </c>
      <c r="F32" s="12">
        <f>(表A1!F11-(表A1!F15/表A1!F41*表A1!F37))*表A1!F42</f>
        <v>0</v>
      </c>
      <c r="G32" s="12">
        <f>(表A1!G11-(表A1!G15/表A1!G41*表A1!G37))*表A1!G42</f>
        <v>0</v>
      </c>
      <c r="H32" s="12">
        <f>(表A1!H11-(表A1!H15/表A1!H41*表A1!H37))*表A1!H42</f>
        <v>0</v>
      </c>
      <c r="I32" s="12">
        <f>(表A1!I11-(表A1!I15/表A1!I41*表A1!I37))*表A1!I42</f>
        <v>0</v>
      </c>
      <c r="J32" s="12">
        <f>SUM(D32:I32)</f>
        <v>3250</v>
      </c>
      <c r="K32" s="145"/>
      <c r="L32" s="21"/>
    </row>
    <row r="33" spans="2:13" x14ac:dyDescent="0.25">
      <c r="B33" s="76"/>
      <c r="C33" t="s">
        <v>162</v>
      </c>
      <c r="D33" s="10">
        <f t="shared" ref="D33:J33" si="2">SUM(D31:D32)</f>
        <v>0</v>
      </c>
      <c r="E33" s="10">
        <f t="shared" si="2"/>
        <v>3600</v>
      </c>
      <c r="F33" s="10">
        <f t="shared" si="2"/>
        <v>0</v>
      </c>
      <c r="G33" s="10">
        <f t="shared" si="2"/>
        <v>0</v>
      </c>
      <c r="H33" s="10">
        <f t="shared" si="2"/>
        <v>0</v>
      </c>
      <c r="I33" s="10">
        <f t="shared" si="2"/>
        <v>0</v>
      </c>
      <c r="J33" s="10">
        <f t="shared" si="2"/>
        <v>3600</v>
      </c>
      <c r="K33" s="145"/>
      <c r="L33" s="21"/>
      <c r="M33" s="16">
        <f>SUM(D33:I33)</f>
        <v>3600</v>
      </c>
    </row>
    <row r="34" spans="2:13" ht="14.4" thickBot="1" x14ac:dyDescent="0.3">
      <c r="B34" s="69"/>
      <c r="C34" s="95"/>
      <c r="D34" s="147"/>
      <c r="E34" s="147"/>
      <c r="F34" s="147"/>
      <c r="G34" s="147"/>
      <c r="H34" s="147"/>
      <c r="I34" s="147"/>
      <c r="J34" s="147"/>
      <c r="K34" s="146"/>
      <c r="L34" s="21"/>
      <c r="M34" s="104"/>
    </row>
    <row r="36" spans="2:13" x14ac:dyDescent="0.25">
      <c r="C36" s="2" t="s">
        <v>163</v>
      </c>
    </row>
    <row r="37" spans="2:13" x14ac:dyDescent="0.25">
      <c r="C37" t="s">
        <v>164</v>
      </c>
      <c r="D37" s="10">
        <f>(表A1!D18-表A1!D44)*表A1!D13+(表A1!D19-表A1!D45)*表A1!D14</f>
        <v>0</v>
      </c>
      <c r="E37" s="10">
        <f>(表A1!E18-表A1!E44)*表A1!E13+(表A1!E19-表A1!E45)*表A1!E14</f>
        <v>0</v>
      </c>
      <c r="F37" s="10">
        <f>(表A1!F18-表A1!F44)*表A1!F13+(表A1!F19-表A1!F45)*表A1!F14</f>
        <v>0</v>
      </c>
      <c r="G37" s="10">
        <f>(表A1!G18-表A1!G44)*表A1!G13+(表A1!G19-表A1!G45)*表A1!G14</f>
        <v>0</v>
      </c>
      <c r="H37" s="10">
        <f>(表A1!H18-表A1!H44)*表A1!H13+(表A1!H19-表A1!H45)*表A1!H14</f>
        <v>0</v>
      </c>
      <c r="I37" s="10">
        <f>(表A1!I18-表A1!I44)*表A1!I13+(表A1!I19-表A1!I45)*表A1!I14</f>
        <v>0</v>
      </c>
      <c r="J37" s="10">
        <f>SUM(D37:I37)</f>
        <v>0</v>
      </c>
      <c r="K37" s="21"/>
      <c r="L37" s="21"/>
    </row>
    <row r="38" spans="2:13" x14ac:dyDescent="0.25">
      <c r="C38" t="s">
        <v>165</v>
      </c>
      <c r="D38" s="10">
        <f t="shared" ref="D38:I39" si="3">D31</f>
        <v>0</v>
      </c>
      <c r="E38" s="10">
        <f t="shared" si="3"/>
        <v>350</v>
      </c>
      <c r="F38" s="10">
        <f t="shared" si="3"/>
        <v>0</v>
      </c>
      <c r="G38" s="10">
        <f t="shared" si="3"/>
        <v>0</v>
      </c>
      <c r="H38" s="10">
        <f t="shared" si="3"/>
        <v>0</v>
      </c>
      <c r="I38" s="10">
        <f t="shared" si="3"/>
        <v>0</v>
      </c>
      <c r="J38" s="10">
        <f t="shared" ref="J38:J39" si="4">SUM(D38:I38)</f>
        <v>350</v>
      </c>
      <c r="K38" s="21"/>
      <c r="L38" s="21"/>
    </row>
    <row r="39" spans="2:13" x14ac:dyDescent="0.25">
      <c r="C39" t="s">
        <v>166</v>
      </c>
      <c r="D39" s="12">
        <f t="shared" si="3"/>
        <v>0</v>
      </c>
      <c r="E39" s="12">
        <f t="shared" si="3"/>
        <v>3250</v>
      </c>
      <c r="F39" s="12">
        <f t="shared" si="3"/>
        <v>0</v>
      </c>
      <c r="G39" s="12">
        <f t="shared" si="3"/>
        <v>0</v>
      </c>
      <c r="H39" s="12">
        <f t="shared" si="3"/>
        <v>0</v>
      </c>
      <c r="I39" s="12">
        <f t="shared" si="3"/>
        <v>0</v>
      </c>
      <c r="J39" s="12">
        <f t="shared" si="4"/>
        <v>3250</v>
      </c>
      <c r="K39" s="21"/>
      <c r="L39" s="21"/>
    </row>
    <row r="40" spans="2:13" x14ac:dyDescent="0.25">
      <c r="C40" t="s">
        <v>162</v>
      </c>
      <c r="D40" s="10">
        <f>SUM(D37:D39)</f>
        <v>0</v>
      </c>
      <c r="E40" s="10">
        <f t="shared" ref="E40:J40" si="5">SUM(E37:E39)</f>
        <v>3600</v>
      </c>
      <c r="F40" s="10">
        <f t="shared" si="5"/>
        <v>0</v>
      </c>
      <c r="G40" s="10">
        <f t="shared" si="5"/>
        <v>0</v>
      </c>
      <c r="H40" s="10">
        <f t="shared" si="5"/>
        <v>0</v>
      </c>
      <c r="I40" s="10">
        <f t="shared" si="5"/>
        <v>0</v>
      </c>
      <c r="J40" s="10">
        <f t="shared" si="5"/>
        <v>3600</v>
      </c>
      <c r="K40" s="21"/>
      <c r="L40" s="21"/>
      <c r="M40" s="16">
        <f>SUM(D40:I40)</f>
        <v>3600</v>
      </c>
    </row>
    <row r="42" spans="2:13" x14ac:dyDescent="0.25">
      <c r="C42" s="2" t="s">
        <v>167</v>
      </c>
    </row>
    <row r="43" spans="2:13" x14ac:dyDescent="0.25">
      <c r="C43" t="s">
        <v>47</v>
      </c>
      <c r="D43" s="10">
        <f xml:space="preserve"> (表A1!D13-表A1!D39/表A1!$J55*表A1!$J26)*表A1!D44</f>
        <v>-4811.9584052471973</v>
      </c>
      <c r="E43" s="10">
        <f>(表A1!E13-表A1!E39/表A1!$J55*表A1!$J26)*表A1!$K60</f>
        <v>5455.8058925899822</v>
      </c>
      <c r="F43" s="10">
        <f>(表A1!F13-表A1!F39/表A1!$J55*表A1!$J26)*表A1!$K60</f>
        <v>-13039.861350823996</v>
      </c>
      <c r="G43" s="10">
        <f>(表A1!G13-表A1!G39/表A1!$J55*表A1!$J26)*表A1!$K60</f>
        <v>11999.999998768806</v>
      </c>
      <c r="H43" s="10">
        <f>(表A1!H13-表A1!H39/表A1!$J55*表A1!$J26)*表A1!$K60</f>
        <v>1999.9999997948009</v>
      </c>
      <c r="I43" s="10">
        <f>(表A1!I13-表A1!I39/表A1!$J57*表A1!$J27)*表A1!I44+(表A1!I14-表A1!I40/表A1!$J57*表A1!$J27)*表A1!I45</f>
        <v>-500</v>
      </c>
      <c r="J43" s="10">
        <f>SUM(D43:I43)</f>
        <v>1103.9861350823969</v>
      </c>
      <c r="K43" s="21"/>
      <c r="L43" s="21"/>
      <c r="M43" s="64">
        <f>'表TN-2'!M24</f>
        <v>1103.9861398823941</v>
      </c>
    </row>
    <row r="45" spans="2:13" x14ac:dyDescent="0.25">
      <c r="C45" t="s">
        <v>111</v>
      </c>
    </row>
    <row r="46" spans="2:13" x14ac:dyDescent="0.25">
      <c r="C46" s="175" t="s">
        <v>276</v>
      </c>
      <c r="D46" s="5">
        <f>表A1!D41/表A1!D37</f>
        <v>20</v>
      </c>
      <c r="E46" s="5">
        <f>表A1!E41/表A1!E37</f>
        <v>85</v>
      </c>
      <c r="F46" s="5">
        <f>表A1!F41/表A1!F37</f>
        <v>20</v>
      </c>
      <c r="G46" s="5">
        <f>表A1!G41/表A1!G37</f>
        <v>20</v>
      </c>
      <c r="H46" s="5">
        <f>表A1!H41/表A1!H37</f>
        <v>25</v>
      </c>
      <c r="I46" s="5">
        <f>表A1!I41/表A1!I37</f>
        <v>80</v>
      </c>
    </row>
    <row r="47" spans="2:13" x14ac:dyDescent="0.25">
      <c r="C47" s="182" t="s">
        <v>168</v>
      </c>
      <c r="D47" s="5">
        <f>表A1!D15/D46</f>
        <v>25</v>
      </c>
      <c r="E47" s="5">
        <f>表A1!E15/E46</f>
        <v>4.2352941176470589</v>
      </c>
      <c r="F47" s="5">
        <f>表A1!F15/F46</f>
        <v>70</v>
      </c>
      <c r="G47" s="5">
        <f>表A1!G15/G46</f>
        <v>30</v>
      </c>
      <c r="H47" s="5">
        <f>表A1!H15/H46</f>
        <v>4</v>
      </c>
      <c r="I47" s="5">
        <f>表A1!I15/I46</f>
        <v>5</v>
      </c>
    </row>
    <row r="48" spans="2:13" x14ac:dyDescent="0.25">
      <c r="C48" s="182" t="s">
        <v>169</v>
      </c>
      <c r="D48" s="5">
        <f>表A1!D11-D47</f>
        <v>0</v>
      </c>
      <c r="E48" s="5">
        <f>表A1!E11-E47</f>
        <v>0.76470588235294112</v>
      </c>
      <c r="F48" s="5">
        <f>表A1!F11-F47</f>
        <v>0</v>
      </c>
      <c r="G48" s="5">
        <f>表A1!G11-G47</f>
        <v>0</v>
      </c>
      <c r="H48" s="5">
        <f>表A1!H11-H47</f>
        <v>0</v>
      </c>
      <c r="I48" s="5">
        <f>表A1!I11-I47</f>
        <v>0</v>
      </c>
    </row>
    <row r="49" spans="3:9" x14ac:dyDescent="0.25">
      <c r="C49" s="182" t="s">
        <v>277</v>
      </c>
      <c r="D49" s="61">
        <f>D48*表A1!D42</f>
        <v>0</v>
      </c>
      <c r="E49" s="61">
        <f>E48*表A1!E42</f>
        <v>3250</v>
      </c>
      <c r="F49" s="61">
        <f>F48*表A1!F42</f>
        <v>0</v>
      </c>
      <c r="G49" s="61">
        <f>G48*表A1!G42</f>
        <v>0</v>
      </c>
      <c r="H49" s="61">
        <f>H48*表A1!H42</f>
        <v>0</v>
      </c>
      <c r="I49" s="61">
        <f>I48*表A1!I42</f>
        <v>0</v>
      </c>
    </row>
  </sheetData>
  <phoneticPr fontId="13" type="noConversion"/>
  <pageMargins left="0.39370078740157483" right="0.39370078740157483" top="0.59055118110236227" bottom="0.59055118110236227" header="0.31496062992125984" footer="0.31496062992125984"/>
  <pageSetup paperSize="9" orientation="landscape" r:id="rId1"/>
  <headerFooter>
    <oddHeader>&amp;F</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50"/>
  <sheetViews>
    <sheetView showGridLines="0" zoomScale="110" zoomScaleNormal="110" workbookViewId="0">
      <selection activeCell="E16" sqref="E16"/>
    </sheetView>
  </sheetViews>
  <sheetFormatPr defaultRowHeight="13.8" x14ac:dyDescent="0.25"/>
  <cols>
    <col min="1" max="1" width="1.77734375" customWidth="1"/>
    <col min="2" max="2" width="1.6640625" customWidth="1"/>
    <col min="3" max="3" width="34" customWidth="1"/>
    <col min="4" max="4" width="3.77734375" customWidth="1"/>
    <col min="6" max="6" width="3.77734375" customWidth="1"/>
    <col min="8" max="8" width="3.77734375" customWidth="1"/>
    <col min="10" max="10" width="3.77734375" customWidth="1"/>
    <col min="12" max="12" width="3.77734375" customWidth="1"/>
    <col min="13" max="13" width="10.88671875" customWidth="1"/>
    <col min="14" max="15" width="1.77734375" customWidth="1"/>
    <col min="16" max="16" width="11.44140625" customWidth="1"/>
  </cols>
  <sheetData>
    <row r="1" spans="2:16" ht="14.4" thickBot="1" x14ac:dyDescent="0.3"/>
    <row r="2" spans="2:16" x14ac:dyDescent="0.25">
      <c r="B2" s="66"/>
      <c r="C2" s="73"/>
      <c r="D2" s="73"/>
      <c r="E2" s="73"/>
      <c r="F2" s="73"/>
      <c r="G2" s="73"/>
      <c r="H2" s="73"/>
      <c r="I2" s="73"/>
      <c r="J2" s="73"/>
      <c r="K2" s="73"/>
      <c r="L2" s="73"/>
      <c r="M2" s="73"/>
      <c r="N2" s="67"/>
    </row>
    <row r="3" spans="2:16" x14ac:dyDescent="0.25">
      <c r="B3" s="76"/>
      <c r="C3" s="2" t="s">
        <v>170</v>
      </c>
      <c r="N3" s="74"/>
    </row>
    <row r="4" spans="2:16" x14ac:dyDescent="0.25">
      <c r="B4" s="76"/>
      <c r="C4" s="2"/>
      <c r="N4" s="74"/>
    </row>
    <row r="5" spans="2:16" ht="27.6" x14ac:dyDescent="0.25">
      <c r="B5" s="76"/>
      <c r="D5" s="86"/>
      <c r="E5" s="87" t="s">
        <v>183</v>
      </c>
      <c r="F5" s="88" t="s">
        <v>5</v>
      </c>
      <c r="G5" s="87" t="s">
        <v>184</v>
      </c>
      <c r="H5" s="89" t="s">
        <v>3</v>
      </c>
      <c r="I5" s="87" t="s">
        <v>185</v>
      </c>
      <c r="J5" s="90" t="s">
        <v>2</v>
      </c>
      <c r="K5" s="87" t="s">
        <v>208</v>
      </c>
      <c r="L5" s="91" t="s">
        <v>4</v>
      </c>
      <c r="M5" s="92" t="s">
        <v>186</v>
      </c>
      <c r="N5" s="74"/>
    </row>
    <row r="6" spans="2:16" ht="12" customHeight="1" x14ac:dyDescent="0.25">
      <c r="B6" s="76"/>
      <c r="N6" s="74"/>
    </row>
    <row r="7" spans="2:16" x14ac:dyDescent="0.25">
      <c r="B7" s="76"/>
      <c r="C7" s="183" t="s">
        <v>272</v>
      </c>
      <c r="E7" s="2"/>
      <c r="N7" s="74"/>
    </row>
    <row r="8" spans="2:16" x14ac:dyDescent="0.25">
      <c r="B8" s="76"/>
      <c r="C8" t="s">
        <v>171</v>
      </c>
      <c r="N8" s="74"/>
    </row>
    <row r="9" spans="2:16" x14ac:dyDescent="0.25">
      <c r="B9" s="76"/>
      <c r="C9" t="s">
        <v>172</v>
      </c>
      <c r="N9" s="74"/>
    </row>
    <row r="10" spans="2:16" ht="12" customHeight="1" x14ac:dyDescent="0.25">
      <c r="B10" s="76"/>
      <c r="D10" s="86"/>
      <c r="E10" s="87"/>
      <c r="F10" s="88"/>
      <c r="G10" s="87"/>
      <c r="H10" s="89"/>
      <c r="I10" s="87"/>
      <c r="J10" s="90"/>
      <c r="K10" s="87"/>
      <c r="L10" s="91"/>
      <c r="M10" s="92"/>
      <c r="N10" s="74"/>
    </row>
    <row r="11" spans="2:16" x14ac:dyDescent="0.25">
      <c r="B11" s="76"/>
      <c r="C11" s="185" t="s">
        <v>26</v>
      </c>
      <c r="E11" s="17">
        <v>80</v>
      </c>
      <c r="G11" s="18">
        <v>500</v>
      </c>
      <c r="I11" s="18">
        <v>800</v>
      </c>
      <c r="K11" s="19">
        <f>G12</f>
        <v>2960</v>
      </c>
      <c r="M11" s="93">
        <f>E11*((G11/G12)-(I11/I12))*K11</f>
        <v>-25663.778162911607</v>
      </c>
      <c r="N11" s="74"/>
    </row>
    <row r="12" spans="2:16" x14ac:dyDescent="0.25">
      <c r="B12" s="76"/>
      <c r="C12" s="185"/>
      <c r="G12" s="18">
        <v>2960</v>
      </c>
      <c r="I12" s="18">
        <v>2885</v>
      </c>
      <c r="N12" s="74"/>
    </row>
    <row r="13" spans="2:16" x14ac:dyDescent="0.25">
      <c r="B13" s="76"/>
      <c r="N13" s="74"/>
    </row>
    <row r="14" spans="2:16" ht="14.7" customHeight="1" x14ac:dyDescent="0.25">
      <c r="B14" s="76"/>
      <c r="C14" s="185" t="s">
        <v>132</v>
      </c>
      <c r="E14" s="17">
        <f>表A1!K61</f>
        <v>69.18465227808494</v>
      </c>
      <c r="G14" s="18">
        <v>2460</v>
      </c>
      <c r="I14" s="18">
        <v>2085</v>
      </c>
      <c r="K14" s="19">
        <f>G15</f>
        <v>2960</v>
      </c>
      <c r="M14" s="93">
        <f>E14*((G14/G15)-(I14/I15))*K14</f>
        <v>22194.244604286854</v>
      </c>
      <c r="N14" s="74"/>
      <c r="P14" s="63">
        <f>SUM(表A2!E26:H26)</f>
        <v>22194.244602909017</v>
      </c>
    </row>
    <row r="15" spans="2:16" x14ac:dyDescent="0.25">
      <c r="B15" s="76"/>
      <c r="C15" s="185"/>
      <c r="G15" s="18">
        <f>G12</f>
        <v>2960</v>
      </c>
      <c r="I15" s="18">
        <f>I12</f>
        <v>2885</v>
      </c>
      <c r="M15" s="94"/>
      <c r="N15" s="74"/>
    </row>
    <row r="16" spans="2:16" x14ac:dyDescent="0.25">
      <c r="B16" s="76"/>
      <c r="M16" s="94"/>
      <c r="N16" s="74"/>
    </row>
    <row r="17" spans="2:16" ht="14.7" customHeight="1" x14ac:dyDescent="0.25">
      <c r="B17" s="76"/>
      <c r="C17" s="185" t="s">
        <v>173</v>
      </c>
      <c r="E17" s="17">
        <v>60</v>
      </c>
      <c r="G17" s="18">
        <v>400</v>
      </c>
      <c r="I17" s="18">
        <v>800</v>
      </c>
      <c r="K17" s="19">
        <f>G18</f>
        <v>400</v>
      </c>
      <c r="M17" s="93">
        <f>E17*((G17/G18)-(I17/I18))*K17</f>
        <v>0</v>
      </c>
      <c r="N17" s="74"/>
    </row>
    <row r="18" spans="2:16" x14ac:dyDescent="0.25">
      <c r="B18" s="76"/>
      <c r="C18" s="185"/>
      <c r="G18" s="18">
        <v>400</v>
      </c>
      <c r="I18" s="18">
        <v>800</v>
      </c>
      <c r="M18" s="94"/>
      <c r="N18" s="74"/>
    </row>
    <row r="19" spans="2:16" ht="14.4" thickBot="1" x14ac:dyDescent="0.3">
      <c r="B19" s="76"/>
      <c r="M19" s="94"/>
      <c r="N19" s="74"/>
    </row>
    <row r="20" spans="2:16" ht="14.4" thickBot="1" x14ac:dyDescent="0.3">
      <c r="B20" s="76"/>
      <c r="G20" s="19">
        <f>G11+G14+G17</f>
        <v>3360</v>
      </c>
      <c r="I20" s="19">
        <f>I11+I14+I17</f>
        <v>3685</v>
      </c>
      <c r="M20" s="20">
        <f>SUM(M11:M19)</f>
        <v>-3469.5335586247529</v>
      </c>
      <c r="N20" s="74"/>
    </row>
    <row r="21" spans="2:16" ht="12" customHeight="1" x14ac:dyDescent="0.25">
      <c r="B21" s="76"/>
      <c r="M21" s="13"/>
      <c r="N21" s="74"/>
    </row>
    <row r="22" spans="2:16" x14ac:dyDescent="0.25">
      <c r="B22" s="76"/>
      <c r="C22" s="2" t="s">
        <v>174</v>
      </c>
      <c r="E22" s="2"/>
      <c r="N22" s="74"/>
    </row>
    <row r="23" spans="2:16" x14ac:dyDescent="0.25">
      <c r="B23" s="76"/>
      <c r="C23" t="s">
        <v>175</v>
      </c>
      <c r="N23" s="74"/>
    </row>
    <row r="24" spans="2:16" x14ac:dyDescent="0.25">
      <c r="B24" s="76"/>
      <c r="C24" s="177" t="s">
        <v>273</v>
      </c>
      <c r="G24" s="177"/>
      <c r="N24" s="74"/>
    </row>
    <row r="25" spans="2:16" x14ac:dyDescent="0.25">
      <c r="B25" s="76"/>
      <c r="N25" s="74"/>
    </row>
    <row r="26" spans="2:16" ht="12" customHeight="1" x14ac:dyDescent="0.25">
      <c r="B26" s="76"/>
      <c r="N26" s="74"/>
    </row>
    <row r="27" spans="2:16" x14ac:dyDescent="0.25">
      <c r="B27" s="76"/>
      <c r="C27" s="185" t="s">
        <v>176</v>
      </c>
      <c r="E27" s="17">
        <v>50</v>
      </c>
      <c r="G27" s="18">
        <v>360</v>
      </c>
      <c r="I27" s="18">
        <v>85</v>
      </c>
      <c r="K27" s="19">
        <f>G28</f>
        <v>2460</v>
      </c>
      <c r="M27" s="93">
        <f>E27*((G27/G28)-(I27/I28))*K27</f>
        <v>12985.611510791367</v>
      </c>
      <c r="N27" s="74"/>
    </row>
    <row r="28" spans="2:16" x14ac:dyDescent="0.25">
      <c r="B28" s="76"/>
      <c r="C28" s="185"/>
      <c r="G28" s="18">
        <v>2460</v>
      </c>
      <c r="I28" s="18">
        <v>2085</v>
      </c>
      <c r="N28" s="74"/>
    </row>
    <row r="29" spans="2:16" x14ac:dyDescent="0.25">
      <c r="B29" s="76"/>
      <c r="N29" s="74"/>
    </row>
    <row r="30" spans="2:16" ht="14.4" customHeight="1" x14ac:dyDescent="0.25">
      <c r="B30" s="76"/>
      <c r="C30" s="185" t="s">
        <v>134</v>
      </c>
      <c r="E30" s="17">
        <v>70</v>
      </c>
      <c r="G30" s="18">
        <v>2100</v>
      </c>
      <c r="I30" s="18">
        <v>2000</v>
      </c>
      <c r="K30" s="19">
        <f>G31</f>
        <v>2460</v>
      </c>
      <c r="M30" s="93">
        <f>E30*((G30/G31)-(I30/I31))*K30</f>
        <v>-18179.856115107923</v>
      </c>
      <c r="N30" s="74"/>
      <c r="P30" s="63">
        <f>SUM(表A2!F27:H27)</f>
        <v>-18179.856115311173</v>
      </c>
    </row>
    <row r="31" spans="2:16" x14ac:dyDescent="0.25">
      <c r="B31" s="76"/>
      <c r="C31" s="185"/>
      <c r="G31" s="18">
        <f>G28</f>
        <v>2460</v>
      </c>
      <c r="I31" s="18">
        <f>I28</f>
        <v>2085</v>
      </c>
      <c r="M31" s="94"/>
      <c r="N31" s="74"/>
    </row>
    <row r="32" spans="2:16" ht="14.4" thickBot="1" x14ac:dyDescent="0.3">
      <c r="B32" s="76"/>
      <c r="M32" s="94"/>
      <c r="N32" s="74"/>
    </row>
    <row r="33" spans="2:14" ht="14.4" thickBot="1" x14ac:dyDescent="0.3">
      <c r="B33" s="76"/>
      <c r="G33" s="19">
        <f>G27+G30</f>
        <v>2460</v>
      </c>
      <c r="I33" s="19">
        <f>I27+I30</f>
        <v>2085</v>
      </c>
      <c r="M33" s="20">
        <f>SUM(M27:M32)</f>
        <v>-5194.2446043165564</v>
      </c>
      <c r="N33" s="74"/>
    </row>
    <row r="34" spans="2:14" ht="12" customHeight="1" x14ac:dyDescent="0.25">
      <c r="B34" s="76"/>
      <c r="M34" s="13"/>
      <c r="N34" s="74"/>
    </row>
    <row r="35" spans="2:14" x14ac:dyDescent="0.25">
      <c r="B35" s="76"/>
      <c r="C35" s="2" t="s">
        <v>177</v>
      </c>
      <c r="E35" s="2"/>
      <c r="N35" s="74"/>
    </row>
    <row r="36" spans="2:14" x14ac:dyDescent="0.25">
      <c r="B36" s="76"/>
      <c r="C36" s="177" t="s">
        <v>274</v>
      </c>
      <c r="N36" s="74"/>
    </row>
    <row r="37" spans="2:14" x14ac:dyDescent="0.25">
      <c r="B37" s="76"/>
      <c r="C37" t="s">
        <v>178</v>
      </c>
      <c r="N37" s="74"/>
    </row>
    <row r="38" spans="2:14" x14ac:dyDescent="0.25">
      <c r="B38" s="76"/>
      <c r="N38" s="74"/>
    </row>
    <row r="39" spans="2:14" ht="12" customHeight="1" x14ac:dyDescent="0.25">
      <c r="B39" s="76"/>
      <c r="N39" s="74"/>
    </row>
    <row r="40" spans="2:14" x14ac:dyDescent="0.25">
      <c r="B40" s="76"/>
      <c r="C40" s="185" t="s">
        <v>179</v>
      </c>
      <c r="E40" s="17">
        <v>70</v>
      </c>
      <c r="G40" s="18">
        <v>1400</v>
      </c>
      <c r="I40" s="18">
        <v>2000</v>
      </c>
      <c r="K40" s="19">
        <f>G41</f>
        <v>2100</v>
      </c>
      <c r="M40" s="93">
        <f>E40*((G40/G41)-(I40/I41))*K40</f>
        <v>-49000.000000000007</v>
      </c>
      <c r="N40" s="74"/>
    </row>
    <row r="41" spans="2:14" x14ac:dyDescent="0.25">
      <c r="B41" s="76"/>
      <c r="C41" s="185"/>
      <c r="G41" s="18">
        <v>2100</v>
      </c>
      <c r="I41" s="18">
        <v>2000</v>
      </c>
      <c r="N41" s="74"/>
    </row>
    <row r="42" spans="2:14" x14ac:dyDescent="0.25">
      <c r="B42" s="76"/>
      <c r="N42" s="74"/>
    </row>
    <row r="43" spans="2:14" ht="14.4" customHeight="1" x14ac:dyDescent="0.25">
      <c r="B43" s="76"/>
      <c r="C43" s="185" t="s">
        <v>180</v>
      </c>
      <c r="E43" s="17">
        <v>65</v>
      </c>
      <c r="G43" s="18">
        <v>600</v>
      </c>
      <c r="I43" s="18">
        <v>0</v>
      </c>
      <c r="K43" s="19">
        <f>G44</f>
        <v>2100</v>
      </c>
      <c r="M43" s="93">
        <f>E43*((G43/G44)-(I43/I44))*K43</f>
        <v>38999.999999999993</v>
      </c>
      <c r="N43" s="74"/>
    </row>
    <row r="44" spans="2:14" x14ac:dyDescent="0.25">
      <c r="B44" s="76"/>
      <c r="C44" s="185"/>
      <c r="G44" s="18">
        <f>G41</f>
        <v>2100</v>
      </c>
      <c r="I44" s="18">
        <f>I41</f>
        <v>2000</v>
      </c>
      <c r="M44" s="94"/>
      <c r="N44" s="74"/>
    </row>
    <row r="45" spans="2:14" x14ac:dyDescent="0.25">
      <c r="B45" s="76"/>
      <c r="M45" s="94"/>
      <c r="N45" s="74"/>
    </row>
    <row r="46" spans="2:14" ht="14.4" customHeight="1" x14ac:dyDescent="0.25">
      <c r="B46" s="76"/>
      <c r="C46" s="185" t="s">
        <v>181</v>
      </c>
      <c r="E46" s="17">
        <v>75</v>
      </c>
      <c r="G46" s="18">
        <v>100</v>
      </c>
      <c r="I46" s="18">
        <v>0</v>
      </c>
      <c r="K46" s="19">
        <f>G47</f>
        <v>2100</v>
      </c>
      <c r="M46" s="93">
        <f>E46*((G46/G47)-(I46/I47))*K46</f>
        <v>7499.9999999999991</v>
      </c>
      <c r="N46" s="74"/>
    </row>
    <row r="47" spans="2:14" x14ac:dyDescent="0.25">
      <c r="B47" s="76"/>
      <c r="C47" s="185"/>
      <c r="G47" s="18">
        <f>G41</f>
        <v>2100</v>
      </c>
      <c r="I47" s="18">
        <f>I41</f>
        <v>2000</v>
      </c>
      <c r="M47" s="94"/>
      <c r="N47" s="74"/>
    </row>
    <row r="48" spans="2:14" ht="14.4" thickBot="1" x14ac:dyDescent="0.3">
      <c r="B48" s="76"/>
      <c r="M48" s="94"/>
      <c r="N48" s="74"/>
    </row>
    <row r="49" spans="2:14" ht="14.4" thickBot="1" x14ac:dyDescent="0.3">
      <c r="B49" s="76"/>
      <c r="G49" s="19">
        <f>G40+G43+G46</f>
        <v>2100</v>
      </c>
      <c r="I49" s="19">
        <f>I40+I43+I46</f>
        <v>2000</v>
      </c>
      <c r="M49" s="20">
        <f>SUM(M40:M48)</f>
        <v>-2500.0000000000155</v>
      </c>
      <c r="N49" s="74"/>
    </row>
    <row r="50" spans="2:14" ht="14.4" thickBot="1" x14ac:dyDescent="0.3">
      <c r="B50" s="69"/>
      <c r="C50" s="95"/>
      <c r="D50" s="95"/>
      <c r="E50" s="95"/>
      <c r="F50" s="95"/>
      <c r="G50" s="95"/>
      <c r="H50" s="95"/>
      <c r="I50" s="95"/>
      <c r="J50" s="95"/>
      <c r="K50" s="95"/>
      <c r="L50" s="95"/>
      <c r="M50" s="95"/>
      <c r="N50" s="70"/>
    </row>
  </sheetData>
  <mergeCells count="8">
    <mergeCell ref="C40:C41"/>
    <mergeCell ref="C43:C44"/>
    <mergeCell ref="C46:C47"/>
    <mergeCell ref="C11:C12"/>
    <mergeCell ref="C14:C15"/>
    <mergeCell ref="C17:C18"/>
    <mergeCell ref="C27:C28"/>
    <mergeCell ref="C30:C31"/>
  </mergeCells>
  <phoneticPr fontId="13" type="noConversion"/>
  <printOptions horizontalCentered="1"/>
  <pageMargins left="0.39370078740157483" right="0.39370078740157483" top="0.59055118110236227" bottom="0.59055118110236227" header="0.31496062992125984" footer="0.31496062992125984"/>
  <pageSetup paperSize="9" orientation="portrait" r:id="rId1"/>
  <headerFooter>
    <oddHeader>&amp;F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41"/>
  <sheetViews>
    <sheetView showGridLines="0" workbookViewId="0">
      <selection activeCell="I11" sqref="I11:I12"/>
    </sheetView>
  </sheetViews>
  <sheetFormatPr defaultColWidth="8.88671875" defaultRowHeight="13.8" x14ac:dyDescent="0.25"/>
  <cols>
    <col min="1" max="2" width="1.77734375" customWidth="1"/>
    <col min="3" max="3" width="12.21875" customWidth="1"/>
    <col min="4" max="4" width="14.6640625" customWidth="1"/>
    <col min="5" max="5" width="1.77734375" customWidth="1"/>
    <col min="6" max="6" width="17.21875" customWidth="1"/>
    <col min="7" max="7" width="16.88671875" customWidth="1"/>
    <col min="8" max="8" width="1.77734375" customWidth="1"/>
    <col min="9" max="9" width="22.33203125" customWidth="1"/>
    <col min="10" max="10" width="8.6640625" customWidth="1"/>
    <col min="11" max="11" width="1.77734375" customWidth="1"/>
    <col min="12" max="12" width="7.21875" bestFit="1" customWidth="1"/>
    <col min="13" max="13" width="1.77734375" customWidth="1"/>
    <col min="14" max="14" width="8" customWidth="1"/>
    <col min="15" max="15" width="17.88671875" style="98" customWidth="1"/>
  </cols>
  <sheetData>
    <row r="1" spans="2:15" ht="14.4" thickBot="1" x14ac:dyDescent="0.3"/>
    <row r="2" spans="2:15" x14ac:dyDescent="0.25">
      <c r="B2" s="66"/>
      <c r="C2" s="73"/>
      <c r="D2" s="73"/>
      <c r="E2" s="73"/>
      <c r="F2" s="73"/>
      <c r="G2" s="73"/>
      <c r="H2" s="73"/>
      <c r="I2" s="73"/>
      <c r="J2" s="73"/>
      <c r="K2" s="73"/>
      <c r="L2" s="73"/>
      <c r="M2" s="67"/>
    </row>
    <row r="3" spans="2:15" x14ac:dyDescent="0.25">
      <c r="B3" s="76"/>
      <c r="C3" s="2" t="s">
        <v>188</v>
      </c>
      <c r="M3" s="74"/>
    </row>
    <row r="4" spans="2:15" x14ac:dyDescent="0.25">
      <c r="B4" s="76"/>
      <c r="C4" s="2"/>
      <c r="M4" s="74"/>
    </row>
    <row r="5" spans="2:15" x14ac:dyDescent="0.25">
      <c r="B5" s="76"/>
      <c r="C5" s="2" t="s">
        <v>189</v>
      </c>
      <c r="M5" s="74"/>
    </row>
    <row r="6" spans="2:15" ht="6" customHeight="1" x14ac:dyDescent="0.25">
      <c r="B6" s="76"/>
      <c r="C6" s="43"/>
      <c r="D6" s="43"/>
      <c r="F6" s="43"/>
      <c r="G6" s="43"/>
      <c r="I6" s="43"/>
      <c r="J6" s="43"/>
      <c r="M6" s="74"/>
    </row>
    <row r="7" spans="2:15" x14ac:dyDescent="0.25">
      <c r="B7" s="76"/>
      <c r="C7" s="97" t="str">
        <f>C28</f>
        <v>成本总差异</v>
      </c>
      <c r="D7" s="99">
        <f>D28</f>
        <v>-36650.000006049988</v>
      </c>
      <c r="F7" s="62" t="str">
        <f>F28</f>
        <v>数量差异</v>
      </c>
      <c r="G7" s="21">
        <f>G28</f>
        <v>-29629.240169174656</v>
      </c>
      <c r="L7" t="s">
        <v>202</v>
      </c>
      <c r="M7" s="74"/>
      <c r="O7" s="98" t="s">
        <v>83</v>
      </c>
    </row>
    <row r="8" spans="2:15" x14ac:dyDescent="0.25">
      <c r="B8" s="76"/>
      <c r="C8" s="97"/>
      <c r="D8" s="99"/>
      <c r="F8" s="62"/>
      <c r="G8" s="21"/>
      <c r="M8" s="74"/>
    </row>
    <row r="9" spans="2:15" x14ac:dyDescent="0.25">
      <c r="B9" s="76"/>
      <c r="F9" s="62" t="str">
        <f>F29</f>
        <v>客户组合差异</v>
      </c>
      <c r="G9" s="21">
        <f>G29</f>
        <v>-560.96780945941282</v>
      </c>
      <c r="L9" s="100">
        <f>G9/表A1!J$15</f>
        <v>-0.16695470519625383</v>
      </c>
      <c r="M9" s="105"/>
    </row>
    <row r="10" spans="2:15" x14ac:dyDescent="0.25">
      <c r="B10" s="76"/>
      <c r="F10" s="166"/>
      <c r="G10" s="101"/>
      <c r="I10" s="43"/>
      <c r="J10" s="43"/>
      <c r="L10" s="100"/>
      <c r="M10" s="105"/>
    </row>
    <row r="11" spans="2:15" x14ac:dyDescent="0.25">
      <c r="B11" s="76"/>
      <c r="F11" s="62" t="str">
        <f>F30</f>
        <v>承运商收费差异</v>
      </c>
      <c r="G11" s="21">
        <f>表A2!J40</f>
        <v>3600</v>
      </c>
      <c r="I11" s="181" t="s">
        <v>46</v>
      </c>
      <c r="J11" s="137">
        <f>表A2!J37</f>
        <v>0</v>
      </c>
      <c r="L11" s="100">
        <f>J11/表A1!J$15</f>
        <v>0</v>
      </c>
      <c r="M11" s="105"/>
    </row>
    <row r="12" spans="2:15" x14ac:dyDescent="0.25">
      <c r="B12" s="76"/>
      <c r="I12" s="182" t="s">
        <v>201</v>
      </c>
      <c r="J12" s="102">
        <f>表A2!J38</f>
        <v>350</v>
      </c>
      <c r="L12" s="100">
        <f>J12/表A1!J$15</f>
        <v>0.10416666666666667</v>
      </c>
      <c r="M12" s="105"/>
    </row>
    <row r="13" spans="2:15" x14ac:dyDescent="0.25">
      <c r="B13" s="76"/>
      <c r="I13" s="62" t="str">
        <f>I31</f>
        <v>效率</v>
      </c>
      <c r="J13" s="102">
        <f>表A2!J39</f>
        <v>3250</v>
      </c>
      <c r="L13" s="100">
        <f>J13/表A1!J$15</f>
        <v>0.96726190476190477</v>
      </c>
      <c r="M13" s="105"/>
    </row>
    <row r="14" spans="2:15" x14ac:dyDescent="0.25">
      <c r="B14" s="76"/>
      <c r="F14" s="43"/>
      <c r="G14" s="43"/>
      <c r="I14" s="167"/>
      <c r="J14" s="168">
        <f>J32</f>
        <v>3600</v>
      </c>
      <c r="M14" s="74"/>
    </row>
    <row r="15" spans="2:15" x14ac:dyDescent="0.25">
      <c r="B15" s="76"/>
      <c r="F15" s="62" t="str">
        <f>F33</f>
        <v>配送组合差异</v>
      </c>
      <c r="G15" s="21">
        <f>G33</f>
        <v>-10059.792027415948</v>
      </c>
      <c r="I15" s="62" t="str">
        <f t="shared" ref="I15:J18" si="0">I33</f>
        <v>第一段组合</v>
      </c>
      <c r="J15" s="21">
        <f t="shared" si="0"/>
        <v>1103.986135082393</v>
      </c>
      <c r="L15" s="100">
        <f>J15/表A1!J$15</f>
        <v>0.32856730210785506</v>
      </c>
      <c r="M15" s="105"/>
    </row>
    <row r="16" spans="2:15" x14ac:dyDescent="0.25">
      <c r="B16" s="76"/>
      <c r="I16" s="62" t="str">
        <f t="shared" si="0"/>
        <v>第二段组合</v>
      </c>
      <c r="J16" s="21">
        <f t="shared" si="0"/>
        <v>-3469.5335584093709</v>
      </c>
      <c r="L16" s="100">
        <f>J16/表A1!J$15</f>
        <v>-1.0325992733361222</v>
      </c>
      <c r="M16" s="105"/>
      <c r="O16" s="104">
        <f>'表 A3'!M20</f>
        <v>-3469.5335586247529</v>
      </c>
    </row>
    <row r="17" spans="2:15" x14ac:dyDescent="0.25">
      <c r="B17" s="76"/>
      <c r="I17" s="62" t="str">
        <f t="shared" si="0"/>
        <v>运输方式组合</v>
      </c>
      <c r="J17" s="21">
        <f t="shared" si="0"/>
        <v>-5194.2446043514556</v>
      </c>
      <c r="L17" s="100">
        <f>J17/表A1!J$15</f>
        <v>-1.545906132247457</v>
      </c>
      <c r="M17" s="105"/>
      <c r="O17" s="104">
        <f>'表 A3'!M33</f>
        <v>-5194.2446043165564</v>
      </c>
    </row>
    <row r="18" spans="2:15" x14ac:dyDescent="0.25">
      <c r="B18" s="76"/>
      <c r="I18" s="62" t="str">
        <f t="shared" si="0"/>
        <v>承运商组合</v>
      </c>
      <c r="J18" s="21">
        <f t="shared" si="0"/>
        <v>-2499.9999997375144</v>
      </c>
      <c r="L18" s="100">
        <f>J18/表A1!J$15</f>
        <v>-0.74404761896949834</v>
      </c>
      <c r="M18" s="105"/>
      <c r="O18" s="104">
        <f>'表 A3'!M49</f>
        <v>-2500.0000000000155</v>
      </c>
    </row>
    <row r="19" spans="2:15" x14ac:dyDescent="0.25">
      <c r="B19" s="76"/>
      <c r="C19" s="43"/>
      <c r="D19" s="43"/>
      <c r="F19" s="43"/>
      <c r="G19" s="43"/>
      <c r="I19" s="167"/>
      <c r="J19" s="168">
        <f>J37</f>
        <v>-10059.792027415948</v>
      </c>
      <c r="M19" s="74"/>
    </row>
    <row r="20" spans="2:15" x14ac:dyDescent="0.25">
      <c r="B20" s="76"/>
      <c r="F20" s="11"/>
      <c r="G20" s="103">
        <f>SUM(G7:G15)</f>
        <v>-36650.000006050017</v>
      </c>
      <c r="J20" s="102"/>
      <c r="M20" s="74"/>
    </row>
    <row r="21" spans="2:15" ht="41.4" x14ac:dyDescent="0.25">
      <c r="B21" s="76"/>
      <c r="C21" s="172" t="s">
        <v>190</v>
      </c>
      <c r="G21" s="103"/>
      <c r="J21" s="102"/>
      <c r="M21" s="74"/>
    </row>
    <row r="22" spans="2:15" ht="69" x14ac:dyDescent="0.25">
      <c r="B22" s="76"/>
      <c r="C22" s="172" t="s">
        <v>192</v>
      </c>
      <c r="J22" s="102"/>
      <c r="M22" s="74"/>
    </row>
    <row r="23" spans="2:15" ht="14.4" x14ac:dyDescent="0.3">
      <c r="B23" s="76"/>
      <c r="C23" s="174" t="s">
        <v>191</v>
      </c>
      <c r="J23" s="102"/>
      <c r="M23" s="74"/>
    </row>
    <row r="24" spans="2:15" ht="14.4" thickBot="1" x14ac:dyDescent="0.3">
      <c r="B24" s="69"/>
      <c r="C24" s="95"/>
      <c r="D24" s="95"/>
      <c r="E24" s="95"/>
      <c r="F24" s="95"/>
      <c r="G24" s="95"/>
      <c r="H24" s="95"/>
      <c r="I24" s="95"/>
      <c r="J24" s="106"/>
      <c r="K24" s="95"/>
      <c r="L24" s="95"/>
      <c r="M24" s="70"/>
    </row>
    <row r="26" spans="2:15" x14ac:dyDescent="0.25">
      <c r="C26" s="2" t="s">
        <v>193</v>
      </c>
    </row>
    <row r="28" spans="2:15" x14ac:dyDescent="0.25">
      <c r="C28" s="97" t="s">
        <v>187</v>
      </c>
      <c r="D28" s="99">
        <f>表A1!J24-表A1!J50</f>
        <v>-36650.000006049988</v>
      </c>
      <c r="F28" s="62" t="s">
        <v>104</v>
      </c>
      <c r="G28" s="21">
        <f>(表A1!J15-表A1!J41)*表A1!K50</f>
        <v>-29629.240169174656</v>
      </c>
    </row>
    <row r="29" spans="2:15" x14ac:dyDescent="0.25">
      <c r="F29" s="62" t="s">
        <v>45</v>
      </c>
      <c r="G29" s="21">
        <f>(表A1!J26-(表A1!J55/表A1!J$41)*表A1!J$15)*表A1!K56 + (表A1!J27-(表A1!J57/表A1!J$41)*表A1!J$15)*表A1!K58</f>
        <v>-560.96780945941282</v>
      </c>
      <c r="L29" s="100">
        <f>G29/表A1!J$15</f>
        <v>-0.16695470519625383</v>
      </c>
      <c r="M29" s="100"/>
    </row>
    <row r="30" spans="2:15" x14ac:dyDescent="0.25">
      <c r="C30" s="62"/>
      <c r="D30" s="62"/>
      <c r="E30" s="62"/>
      <c r="F30" s="62" t="s">
        <v>126</v>
      </c>
      <c r="G30" s="21">
        <f>表A2!J33</f>
        <v>3600</v>
      </c>
      <c r="I30" t="s">
        <v>195</v>
      </c>
      <c r="J30" s="21">
        <f>表A2!J31</f>
        <v>350</v>
      </c>
      <c r="L30" s="100">
        <f>J30/表A1!J$15</f>
        <v>0.10416666666666667</v>
      </c>
      <c r="M30" s="100"/>
    </row>
    <row r="31" spans="2:15" x14ac:dyDescent="0.25">
      <c r="C31" s="62"/>
      <c r="D31" s="62"/>
      <c r="E31" s="62"/>
      <c r="F31" s="62"/>
      <c r="G31" s="100"/>
      <c r="I31" t="s">
        <v>196</v>
      </c>
      <c r="J31" s="101">
        <f>表A2!J32</f>
        <v>3250</v>
      </c>
      <c r="L31" s="100">
        <f>J31/表A1!J$15</f>
        <v>0.96726190476190477</v>
      </c>
      <c r="M31" s="100"/>
    </row>
    <row r="32" spans="2:15" x14ac:dyDescent="0.25">
      <c r="C32" s="62"/>
      <c r="D32" s="62"/>
      <c r="E32" s="62"/>
      <c r="G32" s="100"/>
      <c r="J32" s="102">
        <f>SUM(J30:J31)</f>
        <v>3600</v>
      </c>
    </row>
    <row r="33" spans="3:13" x14ac:dyDescent="0.25">
      <c r="C33" s="62"/>
      <c r="D33" s="62"/>
      <c r="E33" s="62"/>
      <c r="F33" s="62" t="s">
        <v>154</v>
      </c>
      <c r="G33" s="21">
        <f>表A2!J29</f>
        <v>-10059.792027415948</v>
      </c>
      <c r="I33" t="s">
        <v>197</v>
      </c>
      <c r="J33" s="21">
        <f>表A2!J25</f>
        <v>1103.986135082393</v>
      </c>
      <c r="L33" s="100">
        <f>J33/表A1!J$15</f>
        <v>0.32856730210785506</v>
      </c>
      <c r="M33" s="100"/>
    </row>
    <row r="34" spans="3:13" x14ac:dyDescent="0.25">
      <c r="C34" s="62"/>
      <c r="D34" s="62"/>
      <c r="E34" s="62"/>
      <c r="I34" t="s">
        <v>198</v>
      </c>
      <c r="J34" s="21">
        <f>表A2!J26</f>
        <v>-3469.5335584093709</v>
      </c>
      <c r="L34" s="100">
        <f>J34/表A1!J$15</f>
        <v>-1.0325992733361222</v>
      </c>
      <c r="M34" s="100"/>
    </row>
    <row r="35" spans="3:13" x14ac:dyDescent="0.25">
      <c r="C35" s="62"/>
      <c r="D35" s="62"/>
      <c r="E35" s="62"/>
      <c r="I35" t="s">
        <v>199</v>
      </c>
      <c r="J35" s="21">
        <f>表A2!J27</f>
        <v>-5194.2446043514556</v>
      </c>
      <c r="L35" s="100">
        <f>J35/表A1!J$15</f>
        <v>-1.545906132247457</v>
      </c>
      <c r="M35" s="100"/>
    </row>
    <row r="36" spans="3:13" x14ac:dyDescent="0.25">
      <c r="C36" s="62"/>
      <c r="D36" s="62"/>
      <c r="E36" s="62"/>
      <c r="I36" t="s">
        <v>200</v>
      </c>
      <c r="J36" s="101">
        <f>表A2!J28</f>
        <v>-2499.9999997375144</v>
      </c>
      <c r="L36" s="100">
        <f>J36/表A1!J$15</f>
        <v>-0.74404761896949834</v>
      </c>
      <c r="M36" s="100"/>
    </row>
    <row r="37" spans="3:13" x14ac:dyDescent="0.25">
      <c r="J37" s="102">
        <f>SUM(J33:J36)</f>
        <v>-10059.792027415948</v>
      </c>
    </row>
    <row r="38" spans="3:13" x14ac:dyDescent="0.25">
      <c r="G38" s="103">
        <f>SUM(G28:G33)</f>
        <v>-36650.000006050017</v>
      </c>
    </row>
    <row r="39" spans="3:13" x14ac:dyDescent="0.25">
      <c r="G39" s="103"/>
    </row>
    <row r="40" spans="3:13" x14ac:dyDescent="0.25">
      <c r="F40" s="2" t="s">
        <v>167</v>
      </c>
      <c r="J40" s="21">
        <f>'表TN-2'!M24</f>
        <v>1103.9861398823941</v>
      </c>
    </row>
    <row r="41" spans="3:13" x14ac:dyDescent="0.25">
      <c r="F41" t="s">
        <v>194</v>
      </c>
    </row>
  </sheetData>
  <phoneticPr fontId="13" type="noConversion"/>
  <pageMargins left="0.19685039370078741" right="0.19685039370078741" top="0.59055118110236227" bottom="0.59055118110236227" header="0.31496062992125984" footer="0.31496062992125984"/>
  <pageSetup paperSize="9" orientation="landscape" r:id="rId1"/>
  <headerFooter>
    <oddHeader>&amp;F</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29"/>
  <sheetViews>
    <sheetView showGridLines="0" zoomScale="80" zoomScaleNormal="80" workbookViewId="0">
      <selection activeCell="S31" sqref="S31"/>
    </sheetView>
  </sheetViews>
  <sheetFormatPr defaultRowHeight="13.8" x14ac:dyDescent="0.25"/>
  <cols>
    <col min="1" max="2" width="1.77734375" customWidth="1"/>
    <col min="3" max="3" width="28.77734375" customWidth="1"/>
    <col min="4" max="4" width="1.77734375" customWidth="1"/>
    <col min="6" max="6" width="3.77734375" customWidth="1"/>
    <col min="8" max="8" width="2.77734375" customWidth="1"/>
    <col min="10" max="10" width="3.77734375" customWidth="1"/>
    <col min="11" max="11" width="7.21875" customWidth="1"/>
    <col min="12" max="12" width="2.77734375" customWidth="1"/>
    <col min="13" max="13" width="8.77734375" customWidth="1"/>
    <col min="14" max="14" width="1.77734375" customWidth="1"/>
  </cols>
  <sheetData>
    <row r="1" spans="2:14" ht="14.4" thickBot="1" x14ac:dyDescent="0.3"/>
    <row r="2" spans="2:14" x14ac:dyDescent="0.25">
      <c r="B2" s="66"/>
      <c r="C2" s="73"/>
      <c r="D2" s="73"/>
      <c r="E2" s="73"/>
      <c r="F2" s="73"/>
      <c r="G2" s="73"/>
      <c r="H2" s="73"/>
      <c r="I2" s="73"/>
      <c r="J2" s="73"/>
      <c r="K2" s="73"/>
      <c r="L2" s="73"/>
      <c r="M2" s="73"/>
      <c r="N2" s="67"/>
    </row>
    <row r="3" spans="2:14" x14ac:dyDescent="0.25">
      <c r="B3" s="76"/>
      <c r="C3" s="2" t="s">
        <v>203</v>
      </c>
      <c r="N3" s="74"/>
    </row>
    <row r="4" spans="2:14" x14ac:dyDescent="0.25">
      <c r="B4" s="76"/>
      <c r="C4" s="2"/>
      <c r="N4" s="74"/>
    </row>
    <row r="5" spans="2:14" x14ac:dyDescent="0.25">
      <c r="B5" s="76"/>
      <c r="C5" s="2" t="s">
        <v>189</v>
      </c>
      <c r="N5" s="74"/>
    </row>
    <row r="6" spans="2:14" ht="6" customHeight="1" x14ac:dyDescent="0.25">
      <c r="B6" s="76"/>
      <c r="C6" s="2"/>
      <c r="N6" s="74"/>
    </row>
    <row r="7" spans="2:14" x14ac:dyDescent="0.25">
      <c r="B7" s="76"/>
      <c r="C7" t="s">
        <v>204</v>
      </c>
      <c r="N7" s="74"/>
    </row>
    <row r="8" spans="2:14" x14ac:dyDescent="0.25">
      <c r="B8" s="76"/>
      <c r="C8" t="s">
        <v>205</v>
      </c>
      <c r="N8" s="74"/>
    </row>
    <row r="9" spans="2:14" ht="6" customHeight="1" x14ac:dyDescent="0.25">
      <c r="B9" s="76"/>
      <c r="N9" s="96"/>
    </row>
    <row r="10" spans="2:14" ht="27.6" x14ac:dyDescent="0.25">
      <c r="B10" s="76"/>
      <c r="D10" s="86"/>
      <c r="E10" s="87" t="s">
        <v>182</v>
      </c>
      <c r="F10" s="88" t="s">
        <v>5</v>
      </c>
      <c r="G10" s="87" t="s">
        <v>206</v>
      </c>
      <c r="H10" s="89" t="s">
        <v>3</v>
      </c>
      <c r="I10" s="87" t="s">
        <v>207</v>
      </c>
      <c r="J10" s="90" t="s">
        <v>2</v>
      </c>
      <c r="K10" s="87" t="s">
        <v>208</v>
      </c>
      <c r="L10" s="91" t="s">
        <v>4</v>
      </c>
      <c r="M10" s="92" t="s">
        <v>186</v>
      </c>
      <c r="N10" s="74"/>
    </row>
    <row r="11" spans="2:14" ht="6" customHeight="1" x14ac:dyDescent="0.25">
      <c r="B11" s="76"/>
      <c r="D11" s="86"/>
      <c r="E11" s="87"/>
      <c r="F11" s="88"/>
      <c r="G11" s="87"/>
      <c r="H11" s="89"/>
      <c r="I11" s="87"/>
      <c r="J11" s="90"/>
      <c r="K11" s="87"/>
      <c r="L11" s="91"/>
      <c r="M11" s="92"/>
      <c r="N11" s="74"/>
    </row>
    <row r="12" spans="2:14" x14ac:dyDescent="0.25">
      <c r="B12" s="76"/>
      <c r="C12" s="185" t="s">
        <v>209</v>
      </c>
      <c r="E12" s="17">
        <f>表A1!D44</f>
        <v>15</v>
      </c>
      <c r="G12" s="18">
        <f>表1!S49</f>
        <v>500.00000031999997</v>
      </c>
      <c r="I12" s="18">
        <f>表A1!D41</f>
        <v>800</v>
      </c>
      <c r="K12" s="19">
        <f>G13</f>
        <v>2960</v>
      </c>
      <c r="M12" s="93">
        <f>E12*((G12/G13)-(I12/I13))*K12</f>
        <v>-4811.958400447199</v>
      </c>
      <c r="N12" s="74"/>
    </row>
    <row r="13" spans="2:14" x14ac:dyDescent="0.25">
      <c r="B13" s="76"/>
      <c r="C13" s="185"/>
      <c r="G13" s="18">
        <f>表A1!J26</f>
        <v>2960</v>
      </c>
      <c r="I13" s="18">
        <f>表A1!J55</f>
        <v>2885.0000000699997</v>
      </c>
      <c r="N13" s="74"/>
    </row>
    <row r="14" spans="2:14" x14ac:dyDescent="0.25">
      <c r="B14" s="76"/>
      <c r="N14" s="74"/>
    </row>
    <row r="15" spans="2:14" ht="14.7" customHeight="1" x14ac:dyDescent="0.25">
      <c r="B15" s="76"/>
      <c r="C15" s="185" t="s">
        <v>52</v>
      </c>
      <c r="E15" s="136">
        <f>表A1!K60</f>
        <v>20.000000000000004</v>
      </c>
      <c r="G15" s="18">
        <f>表A1!J28</f>
        <v>2460</v>
      </c>
      <c r="I15" s="18">
        <f>表A1!J59</f>
        <v>2085.0000000699997</v>
      </c>
      <c r="K15" s="19">
        <f>G16</f>
        <v>2960</v>
      </c>
      <c r="M15" s="93">
        <f>E15*((G15/G16)-(I15/I16))*K15</f>
        <v>6415.9445403295931</v>
      </c>
      <c r="N15" s="74"/>
    </row>
    <row r="16" spans="2:14" x14ac:dyDescent="0.25">
      <c r="B16" s="76"/>
      <c r="C16" s="185"/>
      <c r="G16" s="18">
        <f>G$13</f>
        <v>2960</v>
      </c>
      <c r="I16" s="18">
        <f>I$13</f>
        <v>2885.0000000699997</v>
      </c>
      <c r="M16" s="94"/>
      <c r="N16" s="74"/>
    </row>
    <row r="17" spans="2:16" x14ac:dyDescent="0.25">
      <c r="B17" s="76"/>
      <c r="M17" s="94"/>
      <c r="N17" s="74"/>
    </row>
    <row r="18" spans="2:16" ht="14.7" customHeight="1" x14ac:dyDescent="0.25">
      <c r="B18" s="76"/>
      <c r="C18" s="185" t="s">
        <v>55</v>
      </c>
      <c r="E18" s="17">
        <f>表A1!I44</f>
        <v>30</v>
      </c>
      <c r="G18" s="18">
        <f>表A1!I13</f>
        <v>300</v>
      </c>
      <c r="I18" s="18">
        <f>表A1!I39</f>
        <v>400</v>
      </c>
      <c r="K18" s="19">
        <f>G19</f>
        <v>400</v>
      </c>
      <c r="M18" s="93">
        <f>E18*((G18/G19)-(I18/I19))*K18</f>
        <v>3000</v>
      </c>
      <c r="N18" s="74"/>
    </row>
    <row r="19" spans="2:16" x14ac:dyDescent="0.25">
      <c r="B19" s="76"/>
      <c r="C19" s="185"/>
      <c r="G19" s="18">
        <f>表A1!J27</f>
        <v>400</v>
      </c>
      <c r="I19" s="18">
        <f>表A1!J57</f>
        <v>800</v>
      </c>
      <c r="M19" s="94"/>
      <c r="N19" s="74"/>
      <c r="P19" t="s">
        <v>7</v>
      </c>
    </row>
    <row r="20" spans="2:16" x14ac:dyDescent="0.25">
      <c r="B20" s="76"/>
      <c r="M20" s="94"/>
      <c r="N20" s="74"/>
    </row>
    <row r="21" spans="2:16" ht="14.7" customHeight="1" x14ac:dyDescent="0.25">
      <c r="B21" s="76"/>
      <c r="C21" s="185" t="s">
        <v>58</v>
      </c>
      <c r="E21" s="17">
        <f>表A1!I45</f>
        <v>35</v>
      </c>
      <c r="G21" s="18">
        <f>表A1!I14</f>
        <v>100</v>
      </c>
      <c r="I21" s="18">
        <f>表A1!I40</f>
        <v>400</v>
      </c>
      <c r="K21" s="19">
        <f>G22</f>
        <v>400</v>
      </c>
      <c r="M21" s="93">
        <f>E21*((G21/G22)-(I21/I22))*K21</f>
        <v>-3500</v>
      </c>
      <c r="N21" s="74"/>
    </row>
    <row r="22" spans="2:16" x14ac:dyDescent="0.25">
      <c r="B22" s="76"/>
      <c r="C22" s="185"/>
      <c r="G22" s="18">
        <f>G$19</f>
        <v>400</v>
      </c>
      <c r="I22" s="18">
        <f>I$19</f>
        <v>800</v>
      </c>
      <c r="M22" s="94"/>
      <c r="N22" s="74"/>
    </row>
    <row r="23" spans="2:16" ht="14.4" thickBot="1" x14ac:dyDescent="0.3">
      <c r="B23" s="76"/>
      <c r="M23" s="94"/>
      <c r="N23" s="74"/>
    </row>
    <row r="24" spans="2:16" ht="14.4" thickBot="1" x14ac:dyDescent="0.3">
      <c r="B24" s="76"/>
      <c r="M24" s="20">
        <f>SUM(M12:M23)</f>
        <v>1103.9861398823941</v>
      </c>
      <c r="N24" s="74"/>
    </row>
    <row r="25" spans="2:16" ht="14.4" thickBot="1" x14ac:dyDescent="0.3">
      <c r="B25" s="69"/>
      <c r="C25" s="95"/>
      <c r="D25" s="95"/>
      <c r="E25" s="95"/>
      <c r="F25" s="95"/>
      <c r="G25" s="95"/>
      <c r="H25" s="95"/>
      <c r="I25" s="95"/>
      <c r="J25" s="95"/>
      <c r="K25" s="95"/>
      <c r="L25" s="95"/>
      <c r="M25" s="95"/>
      <c r="N25" s="70"/>
    </row>
    <row r="27" spans="2:16" x14ac:dyDescent="0.25">
      <c r="G27" s="142">
        <f>G12+G15</f>
        <v>2960.0000003199998</v>
      </c>
      <c r="H27" s="33"/>
      <c r="I27" s="142">
        <f>I12+I15</f>
        <v>2885.0000000699997</v>
      </c>
    </row>
    <row r="28" spans="2:16" x14ac:dyDescent="0.25">
      <c r="G28" s="143">
        <f>G18+G21</f>
        <v>400</v>
      </c>
      <c r="H28" s="33"/>
      <c r="I28" s="143">
        <f>I18+I21</f>
        <v>800</v>
      </c>
    </row>
    <row r="29" spans="2:16" x14ac:dyDescent="0.25">
      <c r="G29" s="144">
        <f>SUM(G27:G28)</f>
        <v>3360.0000003199998</v>
      </c>
      <c r="H29" s="33"/>
      <c r="I29" s="144">
        <f>SUM(I27:I28)</f>
        <v>3685.0000000699997</v>
      </c>
    </row>
  </sheetData>
  <mergeCells count="4">
    <mergeCell ref="C12:C13"/>
    <mergeCell ref="C15:C16"/>
    <mergeCell ref="C18:C19"/>
    <mergeCell ref="C21:C22"/>
  </mergeCells>
  <phoneticPr fontId="13" type="noConversion"/>
  <pageMargins left="0.19685039370078741" right="0.19685039370078741" top="0.59055118110236227" bottom="0.59055118110236227" header="0.31496062992125984" footer="0.31496062992125984"/>
  <pageSetup paperSize="9" orientation="portrait" r:id="rId1"/>
  <headerFooter>
    <oddHeader>&amp;F</oddHead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Y47"/>
  <sheetViews>
    <sheetView showGridLines="0" topLeftCell="F28" zoomScale="80" zoomScaleNormal="80" workbookViewId="0">
      <selection activeCell="L30" sqref="L30"/>
    </sheetView>
  </sheetViews>
  <sheetFormatPr defaultColWidth="8.88671875" defaultRowHeight="13.8" x14ac:dyDescent="0.25"/>
  <cols>
    <col min="1" max="2" width="1.77734375" customWidth="1"/>
    <col min="3" max="3" width="22.44140625" customWidth="1"/>
    <col min="4" max="4" width="9.21875" bestFit="1" customWidth="1"/>
    <col min="5" max="5" width="1.6640625" customWidth="1"/>
    <col min="6" max="6" width="38.77734375" customWidth="1"/>
    <col min="7" max="7" width="13.44140625" customWidth="1"/>
    <col min="8" max="8" width="1.77734375" customWidth="1"/>
    <col min="9" max="9" width="42.33203125" customWidth="1"/>
    <col min="10" max="10" width="16.109375" customWidth="1"/>
    <col min="11" max="11" width="1.77734375" customWidth="1"/>
    <col min="12" max="12" width="7.21875" bestFit="1" customWidth="1"/>
    <col min="13" max="13" width="14.33203125" customWidth="1"/>
    <col min="14" max="14" width="1.77734375" customWidth="1"/>
    <col min="15" max="15" width="1.6640625" customWidth="1"/>
    <col min="16" max="16" width="20.21875" customWidth="1"/>
    <col min="17" max="17" width="1.77734375" customWidth="1"/>
    <col min="18" max="18" width="9.77734375" customWidth="1"/>
    <col min="19" max="19" width="1.77734375" customWidth="1"/>
    <col min="20" max="20" width="9.77734375" customWidth="1"/>
    <col min="21" max="21" width="1.77734375" customWidth="1"/>
    <col min="22" max="22" width="32.109375" customWidth="1"/>
    <col min="23" max="23" width="1.77734375" customWidth="1"/>
  </cols>
  <sheetData>
    <row r="1" spans="2:24" ht="14.4" thickBot="1" x14ac:dyDescent="0.3"/>
    <row r="2" spans="2:24" x14ac:dyDescent="0.25">
      <c r="B2" s="66"/>
      <c r="C2" s="73"/>
      <c r="D2" s="73"/>
      <c r="E2" s="73"/>
      <c r="F2" s="73"/>
      <c r="G2" s="73"/>
      <c r="H2" s="73"/>
      <c r="I2" s="73"/>
      <c r="J2" s="73"/>
      <c r="K2" s="73"/>
      <c r="L2" s="73"/>
      <c r="M2" s="67"/>
      <c r="O2" s="66"/>
      <c r="P2" s="73"/>
      <c r="Q2" s="73"/>
      <c r="R2" s="73"/>
      <c r="S2" s="73"/>
      <c r="T2" s="73"/>
      <c r="U2" s="73"/>
      <c r="V2" s="73"/>
      <c r="W2" s="67"/>
    </row>
    <row r="3" spans="2:24" x14ac:dyDescent="0.25">
      <c r="B3" s="76"/>
      <c r="C3" s="2" t="s">
        <v>210</v>
      </c>
      <c r="M3" s="74"/>
      <c r="O3" s="76"/>
      <c r="W3" s="74"/>
    </row>
    <row r="4" spans="2:24" x14ac:dyDescent="0.25">
      <c r="B4" s="76"/>
      <c r="C4" s="2"/>
      <c r="M4" s="74"/>
      <c r="O4" s="76"/>
      <c r="W4" s="74"/>
    </row>
    <row r="5" spans="2:24" x14ac:dyDescent="0.25">
      <c r="B5" s="76"/>
      <c r="C5" s="2" t="s">
        <v>211</v>
      </c>
      <c r="M5" s="74"/>
      <c r="O5" s="76"/>
      <c r="W5" s="74"/>
    </row>
    <row r="6" spans="2:24" ht="6" customHeight="1" x14ac:dyDescent="0.25">
      <c r="B6" s="76"/>
      <c r="M6" s="74"/>
      <c r="O6" s="76"/>
      <c r="P6" s="58"/>
      <c r="Q6" s="58"/>
      <c r="W6" s="74"/>
    </row>
    <row r="7" spans="2:24" x14ac:dyDescent="0.25">
      <c r="B7" s="76"/>
      <c r="C7" s="169" t="s">
        <v>212</v>
      </c>
      <c r="D7" s="43"/>
      <c r="F7" s="43"/>
      <c r="G7" s="43"/>
      <c r="I7" s="43"/>
      <c r="J7" s="43"/>
      <c r="M7" s="74"/>
      <c r="O7" s="76"/>
      <c r="P7" s="169" t="s">
        <v>213</v>
      </c>
      <c r="Q7" s="2"/>
      <c r="R7" s="170"/>
      <c r="S7" s="133"/>
      <c r="T7" s="170"/>
      <c r="W7" s="74"/>
    </row>
    <row r="8" spans="2:24" x14ac:dyDescent="0.25">
      <c r="B8" s="76"/>
      <c r="C8" s="97" t="s">
        <v>187</v>
      </c>
      <c r="D8" s="99">
        <f>表1!S143</f>
        <v>189780.00002795493</v>
      </c>
      <c r="F8" s="62" t="s">
        <v>104</v>
      </c>
      <c r="G8" s="21">
        <f>表1!S145</f>
        <v>49790.269018932675</v>
      </c>
      <c r="L8" t="s">
        <v>202</v>
      </c>
      <c r="M8" s="74"/>
      <c r="O8" s="76"/>
      <c r="P8" t="str">
        <f>$F8</f>
        <v>数量差异</v>
      </c>
      <c r="R8" s="102">
        <f>$G8</f>
        <v>49790.269018932675</v>
      </c>
      <c r="T8" s="102">
        <f>$G8</f>
        <v>49790.269018932675</v>
      </c>
      <c r="V8" s="186" t="str">
        <f>表1!C175</f>
        <v>变形1：后一段组合差异是使用的是客户记录水平的费率和数量，计算得到后一段组合+运输方式+承运商组合差异的总和(作业4讨论问题)</v>
      </c>
      <c r="W8" s="74"/>
    </row>
    <row r="9" spans="2:24" x14ac:dyDescent="0.25">
      <c r="B9" s="76"/>
      <c r="C9" s="2"/>
      <c r="M9" s="74"/>
      <c r="O9" s="76"/>
      <c r="V9" s="187"/>
      <c r="W9" s="74"/>
    </row>
    <row r="10" spans="2:24" x14ac:dyDescent="0.25">
      <c r="B10" s="76"/>
      <c r="F10" s="62" t="str">
        <f>F30</f>
        <v>数量差异</v>
      </c>
      <c r="G10" s="21">
        <f>表1!S147</f>
        <v>102123.35193082242</v>
      </c>
      <c r="L10" s="100">
        <f>G10/表1!$S$15</f>
        <v>10.682358988222182</v>
      </c>
      <c r="M10" s="105"/>
      <c r="N10" s="100"/>
      <c r="O10" s="76"/>
      <c r="P10" t="str">
        <f>$F10</f>
        <v>数量差异</v>
      </c>
      <c r="R10" s="102">
        <f>$G10</f>
        <v>102123.35193082242</v>
      </c>
      <c r="T10" s="171"/>
      <c r="V10" s="187"/>
      <c r="W10" s="74"/>
    </row>
    <row r="11" spans="2:24" x14ac:dyDescent="0.25">
      <c r="B11" s="76"/>
      <c r="F11" s="43"/>
      <c r="G11" s="43"/>
      <c r="I11" s="43"/>
      <c r="J11" s="43"/>
      <c r="M11" s="74"/>
      <c r="O11" s="76"/>
      <c r="V11" s="187"/>
      <c r="W11" s="74"/>
    </row>
    <row r="12" spans="2:24" x14ac:dyDescent="0.25">
      <c r="B12" s="76"/>
      <c r="C12" s="62"/>
      <c r="D12" s="62"/>
      <c r="E12" s="62"/>
      <c r="F12" s="62" t="str">
        <f>F30</f>
        <v>数量差异</v>
      </c>
      <c r="G12" s="21">
        <f>表1!V153</f>
        <v>6053.816889145106</v>
      </c>
      <c r="I12" t="s">
        <v>47</v>
      </c>
      <c r="J12" s="21">
        <f>表1!S149</f>
        <v>3128.4199573596525</v>
      </c>
      <c r="L12" s="100">
        <f>J12/表1!$S$15</f>
        <v>0.32724058130281752</v>
      </c>
      <c r="M12" s="105"/>
      <c r="N12" s="100"/>
      <c r="O12" s="76"/>
      <c r="P12" t="str">
        <f>$I12</f>
        <v>第一段组合差异</v>
      </c>
      <c r="R12" s="102">
        <f>J12</f>
        <v>3128.4199573596525</v>
      </c>
      <c r="T12" s="102">
        <f>表1!S179</f>
        <v>50020.582360075918</v>
      </c>
      <c r="V12" s="187"/>
      <c r="W12" s="74"/>
    </row>
    <row r="13" spans="2:24" x14ac:dyDescent="0.25">
      <c r="B13" s="76"/>
      <c r="C13" s="62"/>
      <c r="D13" s="62"/>
      <c r="E13" s="62"/>
      <c r="I13" t="s">
        <v>123</v>
      </c>
      <c r="J13" s="21">
        <f>表1!S150</f>
        <v>2083.6093018475149</v>
      </c>
      <c r="L13" s="100">
        <f>J13/表1!$S$15</f>
        <v>0.21795076378428563</v>
      </c>
      <c r="M13" s="105"/>
      <c r="N13" s="100"/>
      <c r="O13" s="76"/>
      <c r="P13" t="str">
        <f t="shared" ref="P13:P15" si="0">$I13</f>
        <v>后一段组合差异</v>
      </c>
      <c r="R13" s="102">
        <f>表1!S176</f>
        <v>2925.3969317854571</v>
      </c>
      <c r="T13" s="102">
        <f>表1!S180</f>
        <v>58156.586459891674</v>
      </c>
      <c r="V13" s="188"/>
      <c r="W13" s="74"/>
    </row>
    <row r="14" spans="2:24" x14ac:dyDescent="0.25">
      <c r="B14" s="76"/>
      <c r="C14" s="62"/>
      <c r="D14" s="62"/>
      <c r="E14" s="62"/>
      <c r="I14" t="s">
        <v>48</v>
      </c>
      <c r="J14" s="21">
        <f>表1!S151</f>
        <v>-779.29532151365856</v>
      </c>
      <c r="L14" s="100">
        <f>J14/表1!$S$15</f>
        <v>-8.151624701752859E-2</v>
      </c>
      <c r="M14" s="105"/>
      <c r="N14" s="100"/>
      <c r="O14" s="76"/>
      <c r="P14" t="str">
        <f t="shared" si="0"/>
        <v>运输方式组合差异</v>
      </c>
      <c r="R14" s="189"/>
      <c r="T14" s="189"/>
      <c r="W14" s="74"/>
    </row>
    <row r="15" spans="2:24" x14ac:dyDescent="0.25">
      <c r="B15" s="76"/>
      <c r="C15" s="62"/>
      <c r="D15" s="62"/>
      <c r="E15" s="62"/>
      <c r="I15" t="s">
        <v>49</v>
      </c>
      <c r="J15" s="21">
        <f>表1!S152</f>
        <v>1621.0829514516154</v>
      </c>
      <c r="L15" s="100">
        <f>J15/表1!$S$15</f>
        <v>0.16956934638047627</v>
      </c>
      <c r="M15" s="105"/>
      <c r="N15" s="100"/>
      <c r="O15" s="76"/>
      <c r="P15" t="str">
        <f t="shared" si="0"/>
        <v>承运商组合差异</v>
      </c>
      <c r="R15" s="189"/>
      <c r="T15" s="189"/>
      <c r="V15" s="186" t="str">
        <f>表1!C178</f>
        <v>变形2：按照工厂或客户记录水平的费率和运输数量，以及每次运输数量相对于总量的占比，这意味着组合差异现在还包括客户组合的影响(作业4讨论问题)</v>
      </c>
      <c r="W15" s="74"/>
      <c r="X15" s="173"/>
    </row>
    <row r="16" spans="2:24" ht="14.4" customHeight="1" x14ac:dyDescent="0.25">
      <c r="B16" s="76"/>
      <c r="F16" s="43"/>
      <c r="G16" s="43"/>
      <c r="I16" s="43"/>
      <c r="J16" s="168">
        <f>SUM(J12:J15)</f>
        <v>6053.8168891451242</v>
      </c>
      <c r="M16" s="74"/>
      <c r="O16" s="76"/>
      <c r="V16" s="187"/>
      <c r="W16" s="74"/>
    </row>
    <row r="17" spans="2:25" x14ac:dyDescent="0.25">
      <c r="B17" s="76"/>
      <c r="C17" s="62"/>
      <c r="D17" s="62"/>
      <c r="E17" s="62"/>
      <c r="F17" s="62" t="s">
        <v>126</v>
      </c>
      <c r="G17" s="21">
        <f>表1!V159</f>
        <v>31812.56218905473</v>
      </c>
      <c r="I17" t="s">
        <v>46</v>
      </c>
      <c r="J17" s="21">
        <f>表1!S156</f>
        <v>6210</v>
      </c>
      <c r="L17" s="100">
        <f>J17/表1!$S$15</f>
        <v>0.64958158993641568</v>
      </c>
      <c r="M17" s="105"/>
      <c r="N17" s="100"/>
      <c r="O17" s="76"/>
      <c r="P17" t="str">
        <f t="shared" ref="P17:P19" si="1">$I17</f>
        <v>第一段费率差异</v>
      </c>
      <c r="R17" s="102">
        <f>$J17</f>
        <v>6210</v>
      </c>
      <c r="T17" s="102">
        <f>$J17</f>
        <v>6210</v>
      </c>
      <c r="V17" s="187"/>
      <c r="W17" s="74"/>
    </row>
    <row r="18" spans="2:25" x14ac:dyDescent="0.25">
      <c r="B18" s="76"/>
      <c r="C18" s="62"/>
      <c r="D18" s="62"/>
      <c r="E18" s="62"/>
      <c r="F18" s="62"/>
      <c r="I18" t="s">
        <v>109</v>
      </c>
      <c r="J18" s="21">
        <f>表1!S157</f>
        <v>20265</v>
      </c>
      <c r="L18" s="100">
        <f>J18/表1!$S$15</f>
        <v>2.1197698744060327</v>
      </c>
      <c r="M18" s="105"/>
      <c r="N18" s="100"/>
      <c r="O18" s="76"/>
      <c r="P18" t="str">
        <f t="shared" si="1"/>
        <v>后一段费率差异</v>
      </c>
      <c r="R18" s="102">
        <f t="shared" ref="R18:T19" si="2">$J18</f>
        <v>20265</v>
      </c>
      <c r="T18" s="102">
        <f t="shared" si="2"/>
        <v>20265</v>
      </c>
      <c r="V18" s="187"/>
      <c r="W18" s="74"/>
      <c r="Y18" t="s">
        <v>15</v>
      </c>
    </row>
    <row r="19" spans="2:25" x14ac:dyDescent="0.25">
      <c r="B19" s="76"/>
      <c r="C19" s="62"/>
      <c r="D19" s="62"/>
      <c r="E19" s="62"/>
      <c r="G19" s="100"/>
      <c r="I19" t="s">
        <v>110</v>
      </c>
      <c r="J19" s="21">
        <f>表1!S158</f>
        <v>5337.5621890547291</v>
      </c>
      <c r="L19" s="100">
        <f>J19/表1!$S$15</f>
        <v>0.55832240469414918</v>
      </c>
      <c r="M19" s="105"/>
      <c r="N19" s="100"/>
      <c r="O19" s="76"/>
      <c r="P19" t="str">
        <f t="shared" si="1"/>
        <v>效率差异</v>
      </c>
      <c r="R19" s="102">
        <f t="shared" si="2"/>
        <v>5337.5621890547291</v>
      </c>
      <c r="T19" s="102">
        <f t="shared" si="2"/>
        <v>5337.5621890547291</v>
      </c>
      <c r="V19" s="187"/>
      <c r="W19" s="74"/>
    </row>
    <row r="20" spans="2:25" x14ac:dyDescent="0.25">
      <c r="B20" s="76"/>
      <c r="C20" s="43"/>
      <c r="D20" s="43"/>
      <c r="F20" s="43"/>
      <c r="G20" s="43"/>
      <c r="I20" s="43"/>
      <c r="J20" s="168">
        <f>SUM(J17:J19)</f>
        <v>31812.56218905473</v>
      </c>
      <c r="M20" s="74"/>
      <c r="O20" s="76"/>
      <c r="P20" s="43"/>
      <c r="R20" s="43"/>
      <c r="T20" s="43"/>
      <c r="V20" s="188"/>
      <c r="W20" s="74"/>
    </row>
    <row r="21" spans="2:25" ht="13.5" customHeight="1" x14ac:dyDescent="0.25">
      <c r="B21" s="76"/>
      <c r="G21" s="99">
        <f>SUM(G8:G20)</f>
        <v>189780.00002795493</v>
      </c>
      <c r="M21" s="74"/>
      <c r="O21" s="76"/>
      <c r="R21" s="103">
        <f>SUM(R8:R20)</f>
        <v>189780.00002795493</v>
      </c>
      <c r="T21" s="103">
        <f>SUM(T8:T20)</f>
        <v>189780.00002795499</v>
      </c>
      <c r="V21" s="116"/>
      <c r="W21" s="74"/>
    </row>
    <row r="22" spans="2:25" ht="14.4" thickBot="1" x14ac:dyDescent="0.3">
      <c r="B22" s="69"/>
      <c r="C22" s="95"/>
      <c r="D22" s="95"/>
      <c r="E22" s="95"/>
      <c r="F22" s="95"/>
      <c r="G22" s="114"/>
      <c r="H22" s="95"/>
      <c r="I22" s="95"/>
      <c r="J22" s="95"/>
      <c r="K22" s="95"/>
      <c r="L22" s="95"/>
      <c r="M22" s="70"/>
      <c r="O22" s="69"/>
      <c r="P22" s="95"/>
      <c r="Q22" s="95"/>
      <c r="R22" s="134"/>
      <c r="S22" s="95"/>
      <c r="T22" s="134"/>
      <c r="U22" s="95"/>
      <c r="V22" s="135"/>
      <c r="W22" s="70"/>
    </row>
    <row r="23" spans="2:25" x14ac:dyDescent="0.25">
      <c r="F23" s="98" t="s">
        <v>51</v>
      </c>
      <c r="G23" s="63">
        <f>$D8-G21</f>
        <v>0</v>
      </c>
      <c r="R23" s="63">
        <f>$D8-R21</f>
        <v>0</v>
      </c>
      <c r="T23" s="63">
        <f>$D8-T21</f>
        <v>0</v>
      </c>
    </row>
    <row r="24" spans="2:25" ht="14.4" thickBot="1" x14ac:dyDescent="0.3">
      <c r="F24" s="98"/>
      <c r="G24" s="63"/>
      <c r="R24" s="63"/>
      <c r="T24" s="63"/>
    </row>
    <row r="25" spans="2:25" x14ac:dyDescent="0.25">
      <c r="B25" s="66"/>
      <c r="C25" s="73"/>
      <c r="D25" s="73"/>
      <c r="E25" s="73"/>
      <c r="F25" s="73"/>
      <c r="G25" s="73"/>
      <c r="H25" s="73"/>
      <c r="I25" s="73"/>
      <c r="J25" s="73"/>
      <c r="K25" s="73"/>
      <c r="L25" s="73"/>
      <c r="M25" s="67"/>
    </row>
    <row r="26" spans="2:25" x14ac:dyDescent="0.25">
      <c r="B26" s="76"/>
      <c r="C26" s="2" t="s">
        <v>218</v>
      </c>
      <c r="M26" s="74"/>
    </row>
    <row r="27" spans="2:25" x14ac:dyDescent="0.25">
      <c r="B27" s="76"/>
      <c r="M27" s="74"/>
    </row>
    <row r="28" spans="2:25" x14ac:dyDescent="0.25">
      <c r="B28" s="76"/>
      <c r="C28" s="2" t="s">
        <v>219</v>
      </c>
      <c r="M28" s="74"/>
    </row>
    <row r="29" spans="2:25" ht="6" customHeight="1" x14ac:dyDescent="0.25">
      <c r="B29" s="76"/>
      <c r="C29" s="43"/>
      <c r="D29" s="43"/>
      <c r="F29" s="43"/>
      <c r="G29" s="43"/>
      <c r="I29" s="43"/>
      <c r="J29" s="43"/>
      <c r="M29" s="74"/>
    </row>
    <row r="30" spans="2:25" x14ac:dyDescent="0.25">
      <c r="B30" s="76"/>
      <c r="C30" s="97" t="str">
        <f>C8</f>
        <v>成本总差异</v>
      </c>
      <c r="D30" s="99">
        <f>表1!S143</f>
        <v>189780.00002795493</v>
      </c>
      <c r="F30" s="62" t="str">
        <f>F8</f>
        <v>数量差异</v>
      </c>
      <c r="G30" s="21">
        <f>表1!S145</f>
        <v>49790.269018932675</v>
      </c>
      <c r="L30" s="175" t="s">
        <v>271</v>
      </c>
      <c r="M30" s="74"/>
      <c r="P30" s="115"/>
      <c r="Q30" s="115"/>
      <c r="R30" s="115"/>
      <c r="S30" s="115"/>
      <c r="T30" s="115"/>
    </row>
    <row r="31" spans="2:25" x14ac:dyDescent="0.25">
      <c r="B31" s="76"/>
      <c r="M31" s="74"/>
      <c r="P31" s="115"/>
      <c r="Q31" s="115"/>
      <c r="R31" s="115"/>
      <c r="S31" s="115"/>
      <c r="T31" s="115"/>
    </row>
    <row r="32" spans="2:25" x14ac:dyDescent="0.25">
      <c r="B32" s="76"/>
      <c r="F32" s="62" t="str">
        <f t="shared" ref="F32:F34" si="3">F10</f>
        <v>数量差异</v>
      </c>
      <c r="G32" s="21">
        <f>表1!S147</f>
        <v>102123.35193082242</v>
      </c>
      <c r="L32" s="100">
        <f>G32/表1!$S$15</f>
        <v>10.682358988222182</v>
      </c>
      <c r="M32" s="105"/>
      <c r="N32" s="100"/>
    </row>
    <row r="33" spans="2:20" x14ac:dyDescent="0.25">
      <c r="B33" s="76"/>
      <c r="F33" s="43"/>
      <c r="G33" s="43"/>
      <c r="I33" s="43"/>
      <c r="J33" s="43"/>
      <c r="M33" s="74"/>
      <c r="P33" s="115"/>
      <c r="Q33" s="115"/>
      <c r="R33" s="115"/>
      <c r="S33" s="115"/>
      <c r="T33" s="115"/>
    </row>
    <row r="34" spans="2:20" x14ac:dyDescent="0.25">
      <c r="B34" s="76"/>
      <c r="F34" s="62" t="str">
        <f t="shared" si="3"/>
        <v>数量差异</v>
      </c>
      <c r="G34" s="21">
        <f>表1!V153</f>
        <v>6053.816889145106</v>
      </c>
      <c r="I34" s="62" t="str">
        <f t="shared" ref="I34:I37" si="4">I12</f>
        <v>第一段组合差异</v>
      </c>
      <c r="J34" s="21">
        <f>表1!S149</f>
        <v>3128.4199573596525</v>
      </c>
      <c r="L34" s="100">
        <f>J34/表1!$S$15</f>
        <v>0.32724058130281752</v>
      </c>
      <c r="M34" s="105"/>
      <c r="N34" s="100"/>
      <c r="P34" s="115"/>
      <c r="Q34" s="115"/>
      <c r="R34" s="115"/>
      <c r="S34" s="115"/>
      <c r="T34" s="115"/>
    </row>
    <row r="35" spans="2:20" x14ac:dyDescent="0.25">
      <c r="B35" s="76"/>
      <c r="I35" s="62" t="str">
        <f t="shared" si="4"/>
        <v>后一段组合差异</v>
      </c>
      <c r="J35" s="21">
        <f>表1!S150</f>
        <v>2083.6093018475149</v>
      </c>
      <c r="L35" s="100">
        <f>J35/表1!$S$15</f>
        <v>0.21795076378428563</v>
      </c>
      <c r="M35" s="105"/>
      <c r="N35" s="100"/>
      <c r="P35" s="115"/>
      <c r="Q35" s="115"/>
      <c r="R35" s="115"/>
      <c r="S35" s="115"/>
      <c r="T35" s="115"/>
    </row>
    <row r="36" spans="2:20" x14ac:dyDescent="0.25">
      <c r="B36" s="76"/>
      <c r="I36" s="62" t="str">
        <f t="shared" si="4"/>
        <v>运输方式组合差异</v>
      </c>
      <c r="J36" s="21">
        <f>表1!S151</f>
        <v>-779.29532151365856</v>
      </c>
      <c r="L36" s="100">
        <f>J36/表1!$S$15</f>
        <v>-8.151624701752859E-2</v>
      </c>
      <c r="M36" s="105"/>
      <c r="N36" s="100"/>
      <c r="P36" s="115"/>
      <c r="Q36" s="115"/>
      <c r="R36" s="115"/>
      <c r="S36" s="115"/>
      <c r="T36" s="115"/>
    </row>
    <row r="37" spans="2:20" x14ac:dyDescent="0.25">
      <c r="B37" s="76"/>
      <c r="I37" s="62" t="str">
        <f t="shared" si="4"/>
        <v>承运商组合差异</v>
      </c>
      <c r="J37" s="21">
        <f>表1!S152</f>
        <v>1621.0829514516154</v>
      </c>
      <c r="L37" s="100">
        <f>J37/表1!$S$15</f>
        <v>0.16956934638047627</v>
      </c>
      <c r="M37" s="105"/>
      <c r="N37" s="100"/>
      <c r="P37" s="115"/>
      <c r="Q37" s="115"/>
      <c r="R37" s="115"/>
      <c r="S37" s="115"/>
      <c r="T37" s="115"/>
    </row>
    <row r="38" spans="2:20" x14ac:dyDescent="0.25">
      <c r="B38" s="76"/>
      <c r="F38" s="43"/>
      <c r="G38" s="43"/>
      <c r="I38" s="43"/>
      <c r="J38" s="168">
        <f>SUM(J34:J37)</f>
        <v>6053.8168891451242</v>
      </c>
      <c r="M38" s="74"/>
    </row>
    <row r="39" spans="2:20" x14ac:dyDescent="0.25">
      <c r="B39" s="76"/>
      <c r="F39" s="62" t="str">
        <f>F17</f>
        <v>承运商收费差异</v>
      </c>
      <c r="G39" s="21">
        <f>表1!V159</f>
        <v>31812.56218905473</v>
      </c>
      <c r="I39" s="178" t="s">
        <v>214</v>
      </c>
      <c r="J39" s="21">
        <f>'表TN-5'!S47</f>
        <v>463.75000000000182</v>
      </c>
      <c r="L39" s="100">
        <f>J39/表1!$S$15</f>
        <v>4.8509414224317864E-2</v>
      </c>
      <c r="M39" s="105"/>
      <c r="N39" s="100"/>
    </row>
    <row r="40" spans="2:20" x14ac:dyDescent="0.25">
      <c r="B40" s="76"/>
      <c r="I40" s="179" t="s">
        <v>215</v>
      </c>
      <c r="J40" s="21">
        <f>'表TN-5'!S48</f>
        <v>5746.2499999999982</v>
      </c>
      <c r="L40" s="100">
        <f>J40/表1!$S$15</f>
        <v>0.60107217571209781</v>
      </c>
      <c r="M40" s="105"/>
      <c r="N40" s="100"/>
    </row>
    <row r="41" spans="2:20" x14ac:dyDescent="0.25">
      <c r="B41" s="76"/>
      <c r="I41" s="180" t="s">
        <v>216</v>
      </c>
      <c r="J41" s="21">
        <f>'表TN-5'!S17</f>
        <v>9194.1750003861489</v>
      </c>
      <c r="L41" s="100">
        <f>J41/表1!$S$15</f>
        <v>0.96173378661907882</v>
      </c>
      <c r="M41" s="105"/>
      <c r="N41" s="100"/>
    </row>
    <row r="42" spans="2:20" x14ac:dyDescent="0.25">
      <c r="B42" s="76"/>
      <c r="I42" s="179" t="s">
        <v>217</v>
      </c>
      <c r="J42" s="21">
        <f>'表TN-5'!S18</f>
        <v>11070.824999613851</v>
      </c>
      <c r="L42" s="100">
        <f>J42/表1!$S$15</f>
        <v>1.158036087786954</v>
      </c>
      <c r="M42" s="105"/>
      <c r="N42" s="100"/>
    </row>
    <row r="43" spans="2:20" x14ac:dyDescent="0.25">
      <c r="B43" s="76"/>
      <c r="I43" s="62" t="s">
        <v>61</v>
      </c>
      <c r="J43" s="21">
        <f>表1!S158</f>
        <v>5337.5621890547291</v>
      </c>
      <c r="L43" s="100">
        <f>J43/表1!$S$15</f>
        <v>0.55832240469414918</v>
      </c>
      <c r="M43" s="105"/>
      <c r="N43" s="100"/>
    </row>
    <row r="44" spans="2:20" x14ac:dyDescent="0.25">
      <c r="B44" s="76"/>
      <c r="C44" s="43"/>
      <c r="D44" s="43"/>
      <c r="F44" s="43"/>
      <c r="G44" s="43"/>
      <c r="I44" s="43"/>
      <c r="J44" s="168">
        <f>SUM(J39:J43)</f>
        <v>31812.56218905473</v>
      </c>
      <c r="M44" s="74"/>
    </row>
    <row r="45" spans="2:20" x14ac:dyDescent="0.25">
      <c r="B45" s="76"/>
      <c r="F45" s="62"/>
      <c r="G45" s="99">
        <f>SUM(G30:G44)</f>
        <v>189780.00002795493</v>
      </c>
      <c r="M45" s="74"/>
    </row>
    <row r="46" spans="2:20" ht="14.4" thickBot="1" x14ac:dyDescent="0.3">
      <c r="B46" s="69"/>
      <c r="C46" s="95"/>
      <c r="D46" s="95"/>
      <c r="E46" s="95"/>
      <c r="F46" s="95"/>
      <c r="G46" s="95"/>
      <c r="H46" s="95"/>
      <c r="I46" s="95"/>
      <c r="J46" s="95"/>
      <c r="K46" s="95"/>
      <c r="L46" s="95"/>
      <c r="M46" s="70"/>
    </row>
    <row r="47" spans="2:20" x14ac:dyDescent="0.25">
      <c r="F47" s="132" t="s">
        <v>50</v>
      </c>
      <c r="G47" s="63">
        <f>$D30-G45</f>
        <v>0</v>
      </c>
    </row>
  </sheetData>
  <mergeCells count="4">
    <mergeCell ref="V15:V20"/>
    <mergeCell ref="V8:V13"/>
    <mergeCell ref="R14:R15"/>
    <mergeCell ref="T14:T15"/>
  </mergeCells>
  <phoneticPr fontId="13" type="noConversion"/>
  <pageMargins left="0.19685039370078741" right="0.19685039370078741" top="0.59055118110236227" bottom="0.59055118110236227" header="0.31496062992125984" footer="0.31496062992125984"/>
  <pageSetup paperSize="9" orientation="landscape" r:id="rId1"/>
  <headerFooter>
    <oddHeader>&amp;F</oddHead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0"/>
  <sheetViews>
    <sheetView showGridLines="0" zoomScale="85" zoomScaleNormal="85" workbookViewId="0">
      <selection activeCell="H41" sqref="H41"/>
    </sheetView>
  </sheetViews>
  <sheetFormatPr defaultRowHeight="13.8" x14ac:dyDescent="0.25"/>
  <cols>
    <col min="1" max="1" width="19.33203125" customWidth="1"/>
    <col min="2" max="2" width="1.77734375" customWidth="1"/>
    <col min="3" max="3" width="34.109375" customWidth="1"/>
    <col min="4" max="4" width="1.77734375" customWidth="1"/>
    <col min="5" max="5" width="8.77734375" customWidth="1"/>
    <col min="6" max="6" width="3.77734375" style="1" customWidth="1"/>
    <col min="7" max="7" width="7.21875" customWidth="1"/>
    <col min="8" max="8" width="2.77734375" customWidth="1"/>
    <col min="9" max="9" width="8.88671875" customWidth="1"/>
    <col min="10" max="10" width="3.77734375" customWidth="1"/>
    <col min="11" max="11" width="6.77734375" customWidth="1"/>
    <col min="12" max="12" width="3.77734375" customWidth="1"/>
    <col min="13" max="13" width="8.77734375" customWidth="1"/>
    <col min="14" max="15" width="1.77734375" customWidth="1"/>
  </cols>
  <sheetData>
    <row r="1" spans="1:14" ht="14.4" thickBot="1" x14ac:dyDescent="0.3"/>
    <row r="2" spans="1:14" x14ac:dyDescent="0.25">
      <c r="B2" s="66"/>
      <c r="C2" s="73"/>
      <c r="D2" s="73"/>
      <c r="E2" s="73"/>
      <c r="F2" s="72"/>
      <c r="G2" s="73"/>
      <c r="H2" s="73"/>
      <c r="I2" s="73"/>
      <c r="J2" s="73"/>
      <c r="K2" s="73"/>
      <c r="L2" s="73"/>
      <c r="M2" s="73"/>
      <c r="N2" s="67"/>
    </row>
    <row r="3" spans="1:14" x14ac:dyDescent="0.25">
      <c r="B3" s="76"/>
      <c r="C3" s="2" t="s">
        <v>220</v>
      </c>
      <c r="N3" s="74"/>
    </row>
    <row r="4" spans="1:14" x14ac:dyDescent="0.25">
      <c r="B4" s="76"/>
      <c r="N4" s="74"/>
    </row>
    <row r="5" spans="1:14" x14ac:dyDescent="0.25">
      <c r="B5" s="76"/>
      <c r="C5" s="2" t="s">
        <v>221</v>
      </c>
      <c r="N5" s="74"/>
    </row>
    <row r="6" spans="1:14" ht="6" customHeight="1" x14ac:dyDescent="0.25">
      <c r="B6" s="76"/>
      <c r="C6" s="2"/>
      <c r="N6" s="74"/>
    </row>
    <row r="7" spans="1:14" x14ac:dyDescent="0.25">
      <c r="B7" s="76"/>
      <c r="C7" t="s">
        <v>204</v>
      </c>
      <c r="N7" s="74"/>
    </row>
    <row r="8" spans="1:14" x14ac:dyDescent="0.25">
      <c r="B8" s="76"/>
      <c r="C8" t="s">
        <v>205</v>
      </c>
      <c r="N8" s="74"/>
    </row>
    <row r="9" spans="1:14" x14ac:dyDescent="0.25">
      <c r="B9" s="76"/>
      <c r="N9" s="74"/>
    </row>
    <row r="10" spans="1:14" ht="6" customHeight="1" x14ac:dyDescent="0.25">
      <c r="B10" s="76"/>
      <c r="N10" s="74"/>
    </row>
    <row r="11" spans="1:14" ht="49.95" customHeight="1" x14ac:dyDescent="0.25">
      <c r="B11" s="76"/>
      <c r="D11" s="86"/>
      <c r="E11" s="87" t="s">
        <v>182</v>
      </c>
      <c r="F11" s="88" t="s">
        <v>5</v>
      </c>
      <c r="G11" s="87" t="s">
        <v>206</v>
      </c>
      <c r="H11" s="89" t="s">
        <v>3</v>
      </c>
      <c r="I11" s="87" t="s">
        <v>207</v>
      </c>
      <c r="J11" s="90" t="s">
        <v>2</v>
      </c>
      <c r="K11" s="87" t="s">
        <v>222</v>
      </c>
      <c r="L11" s="91" t="s">
        <v>4</v>
      </c>
      <c r="M11" s="92" t="s">
        <v>186</v>
      </c>
      <c r="N11" s="74"/>
    </row>
    <row r="12" spans="1:14" ht="4.95" customHeight="1" x14ac:dyDescent="0.25">
      <c r="B12" s="76"/>
      <c r="D12" s="86"/>
      <c r="E12" s="87"/>
      <c r="F12" s="88"/>
      <c r="G12" s="87"/>
      <c r="H12" s="89"/>
      <c r="I12" s="87"/>
      <c r="J12" s="90"/>
      <c r="K12" s="87"/>
      <c r="L12" s="91"/>
      <c r="M12" s="92"/>
      <c r="N12" s="74"/>
    </row>
    <row r="13" spans="1:14" x14ac:dyDescent="0.25">
      <c r="B13" s="76"/>
      <c r="C13" s="185" t="s">
        <v>209</v>
      </c>
      <c r="E13" s="17">
        <f>表1!T91</f>
        <v>15.486607142857142</v>
      </c>
      <c r="G13" s="18">
        <f>表1!S35</f>
        <v>500.00000031999997</v>
      </c>
      <c r="I13" s="18">
        <f>表1!S90</f>
        <v>1120</v>
      </c>
      <c r="K13" s="19">
        <f>G14</f>
        <v>5510.0000003200003</v>
      </c>
      <c r="M13" s="93">
        <f>E13*((G13/G14)-(I13/I14))*K13</f>
        <v>-5502.8433405319174</v>
      </c>
      <c r="N13" s="74"/>
    </row>
    <row r="14" spans="1:14" x14ac:dyDescent="0.25">
      <c r="B14" s="76"/>
      <c r="C14" s="185"/>
      <c r="G14" s="18">
        <f>表1!S27</f>
        <v>5510.0000003200003</v>
      </c>
      <c r="I14" s="18">
        <f>表1!S84</f>
        <v>7215</v>
      </c>
      <c r="N14" s="74"/>
    </row>
    <row r="15" spans="1:14" x14ac:dyDescent="0.25">
      <c r="B15" s="76"/>
      <c r="N15" s="74"/>
    </row>
    <row r="16" spans="1:14" ht="14.7" customHeight="1" x14ac:dyDescent="0.25">
      <c r="A16" t="s">
        <v>52</v>
      </c>
      <c r="B16" s="76"/>
      <c r="C16" s="185" t="s">
        <v>9</v>
      </c>
      <c r="E16" s="17">
        <f>表1!T96</f>
        <v>19.999999999973738</v>
      </c>
      <c r="G16" s="18">
        <f>表1!S36</f>
        <v>1560</v>
      </c>
      <c r="I16" s="18">
        <f>表1!S92</f>
        <v>2285</v>
      </c>
      <c r="K16" s="19">
        <f>G17</f>
        <v>5510.0000003200003</v>
      </c>
      <c r="M16" s="93">
        <f>E16*((G16/G17)-(I16/I17))*K16</f>
        <v>-3700.4851025071293</v>
      </c>
      <c r="N16" s="74"/>
    </row>
    <row r="17" spans="1:14" x14ac:dyDescent="0.25">
      <c r="B17" s="76"/>
      <c r="C17" s="185"/>
      <c r="G17" s="18">
        <f>G$14</f>
        <v>5510.0000003200003</v>
      </c>
      <c r="I17" s="18">
        <f>I$14</f>
        <v>7215</v>
      </c>
      <c r="M17" s="94"/>
      <c r="N17" s="74"/>
    </row>
    <row r="18" spans="1:14" x14ac:dyDescent="0.25">
      <c r="B18" s="76"/>
      <c r="M18" s="94"/>
      <c r="N18" s="74"/>
    </row>
    <row r="19" spans="1:14" ht="14.7" customHeight="1" x14ac:dyDescent="0.25">
      <c r="A19" t="s">
        <v>53</v>
      </c>
      <c r="B19" s="76"/>
      <c r="C19" s="185" t="s">
        <v>8</v>
      </c>
      <c r="E19" s="17">
        <f>表1!T96</f>
        <v>19.999999999973738</v>
      </c>
      <c r="G19" s="18">
        <f>表1!S37</f>
        <v>700</v>
      </c>
      <c r="I19" s="18">
        <f>表1!S94</f>
        <v>6.9999999999999992E-8</v>
      </c>
      <c r="K19" s="19">
        <f>G20</f>
        <v>1750</v>
      </c>
      <c r="M19" s="93">
        <f>E19*((G19/G20)-(I19/I20))*K19</f>
        <v>13999.999997939951</v>
      </c>
      <c r="N19" s="74"/>
    </row>
    <row r="20" spans="1:14" x14ac:dyDescent="0.25">
      <c r="B20" s="76"/>
      <c r="C20" s="185"/>
      <c r="G20" s="18">
        <f>表1!S29</f>
        <v>1750</v>
      </c>
      <c r="I20" s="18">
        <f>表1!S86</f>
        <v>1200.0000000699999</v>
      </c>
      <c r="M20" s="94"/>
      <c r="N20" s="74"/>
    </row>
    <row r="21" spans="1:14" x14ac:dyDescent="0.25">
      <c r="B21" s="76"/>
      <c r="M21" s="94"/>
      <c r="N21" s="74"/>
    </row>
    <row r="22" spans="1:14" ht="14.7" customHeight="1" x14ac:dyDescent="0.25">
      <c r="A22" t="s">
        <v>54</v>
      </c>
      <c r="B22" s="76"/>
      <c r="C22" s="185" t="s">
        <v>10</v>
      </c>
      <c r="E22" s="17">
        <f>表1!T103</f>
        <v>33.333333333333336</v>
      </c>
      <c r="G22" s="18">
        <f>表1!S38</f>
        <v>1850</v>
      </c>
      <c r="I22" s="18">
        <f>表1!S97</f>
        <v>1600</v>
      </c>
      <c r="K22" s="19">
        <f>G23</f>
        <v>5510.0000003200003</v>
      </c>
      <c r="M22" s="93">
        <f>E22*((G22/G23)-(I22/I23))*K22</f>
        <v>20936.705934340491</v>
      </c>
      <c r="N22" s="74"/>
    </row>
    <row r="23" spans="1:14" x14ac:dyDescent="0.25">
      <c r="B23" s="76"/>
      <c r="C23" s="185"/>
      <c r="G23" s="18">
        <f>G$14</f>
        <v>5510.0000003200003</v>
      </c>
      <c r="I23" s="18">
        <f>I$14</f>
        <v>7215</v>
      </c>
      <c r="M23" s="94"/>
      <c r="N23" s="74"/>
    </row>
    <row r="24" spans="1:14" x14ac:dyDescent="0.25">
      <c r="B24" s="76"/>
      <c r="M24" s="94"/>
      <c r="N24" s="74"/>
    </row>
    <row r="25" spans="1:14" x14ac:dyDescent="0.25">
      <c r="A25" t="s">
        <v>55</v>
      </c>
      <c r="B25" s="76"/>
      <c r="C25" s="185" t="s">
        <v>11</v>
      </c>
      <c r="E25" s="17">
        <f>表1!T103</f>
        <v>33.333333333333336</v>
      </c>
      <c r="G25" s="18">
        <f>表1!S39</f>
        <v>950</v>
      </c>
      <c r="I25" s="18">
        <f>表1!S99</f>
        <v>800</v>
      </c>
      <c r="K25" s="19">
        <f>G26</f>
        <v>1750</v>
      </c>
      <c r="M25" s="93">
        <f>E25*((G25/G26)-(I25/I26))*K25</f>
        <v>-7222.2222199537109</v>
      </c>
      <c r="N25" s="74"/>
    </row>
    <row r="26" spans="1:14" x14ac:dyDescent="0.25">
      <c r="B26" s="76"/>
      <c r="C26" s="185"/>
      <c r="G26" s="18">
        <f>G$20</f>
        <v>1750</v>
      </c>
      <c r="I26" s="18">
        <f>I$20</f>
        <v>1200.0000000699999</v>
      </c>
      <c r="M26" s="94"/>
      <c r="N26" s="74"/>
    </row>
    <row r="27" spans="1:14" x14ac:dyDescent="0.25">
      <c r="B27" s="76"/>
      <c r="M27" s="94"/>
      <c r="N27" s="74"/>
    </row>
    <row r="28" spans="1:14" x14ac:dyDescent="0.25">
      <c r="B28" s="76"/>
      <c r="C28" s="185" t="s">
        <v>56</v>
      </c>
      <c r="E28" s="17">
        <f>表1!T112</f>
        <v>20</v>
      </c>
      <c r="G28" s="18">
        <f>表1!S43</f>
        <v>1200</v>
      </c>
      <c r="I28" s="18">
        <f>表1!S108</f>
        <v>1810</v>
      </c>
      <c r="K28" s="19">
        <f>G29</f>
        <v>5510.0000003200003</v>
      </c>
      <c r="M28" s="93">
        <f>E28*((G28/G29)-(I28/I29))*K28</f>
        <v>-3645.4608470663902</v>
      </c>
      <c r="N28" s="74"/>
    </row>
    <row r="29" spans="1:14" x14ac:dyDescent="0.25">
      <c r="B29" s="76"/>
      <c r="C29" s="185"/>
      <c r="G29" s="18">
        <f>G$14</f>
        <v>5510.0000003200003</v>
      </c>
      <c r="I29" s="18">
        <f>I$14</f>
        <v>7215</v>
      </c>
      <c r="M29" s="94"/>
      <c r="N29" s="74"/>
    </row>
    <row r="30" spans="1:14" x14ac:dyDescent="0.25">
      <c r="B30" s="76"/>
      <c r="C30" s="116"/>
      <c r="G30" s="30"/>
      <c r="I30" s="30"/>
      <c r="M30" s="94"/>
      <c r="N30" s="74"/>
    </row>
    <row r="31" spans="1:14" x14ac:dyDescent="0.25">
      <c r="A31" t="s">
        <v>57</v>
      </c>
      <c r="B31" s="76"/>
      <c r="C31" s="185" t="s">
        <v>12</v>
      </c>
      <c r="E31" s="17">
        <f>表1!T119</f>
        <v>42.727272727272727</v>
      </c>
      <c r="G31" s="18">
        <f>表1!S45</f>
        <v>400</v>
      </c>
      <c r="I31" s="18">
        <f>表1!S113</f>
        <v>400</v>
      </c>
      <c r="K31" s="19">
        <f>G32</f>
        <v>5510.0000003200003</v>
      </c>
      <c r="M31" s="93">
        <f>E31*((G31/G32)-(I31/I32))*K31</f>
        <v>4038.8080380500205</v>
      </c>
      <c r="N31" s="74"/>
    </row>
    <row r="32" spans="1:14" x14ac:dyDescent="0.25">
      <c r="B32" s="76"/>
      <c r="C32" s="185"/>
      <c r="G32" s="18">
        <f>G$14</f>
        <v>5510.0000003200003</v>
      </c>
      <c r="I32" s="18">
        <f>I$14</f>
        <v>7215</v>
      </c>
      <c r="M32" s="94"/>
      <c r="N32" s="74"/>
    </row>
    <row r="33" spans="1:14" x14ac:dyDescent="0.25">
      <c r="B33" s="76"/>
      <c r="C33" s="116"/>
      <c r="G33" s="30"/>
      <c r="I33" s="30"/>
      <c r="M33" s="94"/>
      <c r="N33" s="74"/>
    </row>
    <row r="34" spans="1:14" x14ac:dyDescent="0.25">
      <c r="A34" t="s">
        <v>58</v>
      </c>
      <c r="B34" s="76"/>
      <c r="C34" s="185" t="s">
        <v>13</v>
      </c>
      <c r="E34" s="17">
        <f>表1!T119</f>
        <v>42.727272727272727</v>
      </c>
      <c r="G34" s="18">
        <f>表1!S46</f>
        <v>100</v>
      </c>
      <c r="I34" s="18">
        <f>表1!S115</f>
        <v>400</v>
      </c>
      <c r="K34" s="19">
        <f>G35</f>
        <v>1750</v>
      </c>
      <c r="M34" s="93">
        <f>E34*((G34/G35)-(I34/I35))*K34</f>
        <v>-20651.515150061237</v>
      </c>
      <c r="N34" s="74"/>
    </row>
    <row r="35" spans="1:14" x14ac:dyDescent="0.25">
      <c r="B35" s="76"/>
      <c r="C35" s="185"/>
      <c r="G35" s="18">
        <f>G$20</f>
        <v>1750</v>
      </c>
      <c r="I35" s="18">
        <f>I$20</f>
        <v>1200.0000000699999</v>
      </c>
      <c r="M35" s="94"/>
      <c r="N35" s="74"/>
    </row>
    <row r="36" spans="1:14" x14ac:dyDescent="0.25">
      <c r="B36" s="76"/>
      <c r="C36" s="117"/>
      <c r="G36" s="30"/>
      <c r="I36" s="30"/>
      <c r="M36" s="94"/>
      <c r="N36" s="74"/>
    </row>
    <row r="37" spans="1:14" x14ac:dyDescent="0.25">
      <c r="A37" t="s">
        <v>59</v>
      </c>
      <c r="B37" s="76"/>
      <c r="C37" s="185" t="s">
        <v>14</v>
      </c>
      <c r="E37" s="17">
        <f>表1!T119</f>
        <v>42.727272727272727</v>
      </c>
      <c r="G37" s="18">
        <f>表1!S47</f>
        <v>1500</v>
      </c>
      <c r="I37" s="18">
        <f>表1!S117</f>
        <v>300</v>
      </c>
      <c r="K37" s="19">
        <f>G38</f>
        <v>2300</v>
      </c>
      <c r="M37" s="93">
        <f>E37*((G37/G38)-(I37/I38))*K37</f>
        <v>14954.545454545456</v>
      </c>
      <c r="N37" s="74"/>
    </row>
    <row r="38" spans="1:14" x14ac:dyDescent="0.25">
      <c r="B38" s="76"/>
      <c r="C38" s="185"/>
      <c r="G38" s="18">
        <f>表1!S31</f>
        <v>2300</v>
      </c>
      <c r="I38" s="18">
        <f>表1!S88</f>
        <v>600</v>
      </c>
      <c r="M38" s="94"/>
      <c r="N38" s="74"/>
    </row>
    <row r="39" spans="1:14" x14ac:dyDescent="0.25">
      <c r="B39" s="76"/>
      <c r="C39" s="116"/>
      <c r="G39" s="30"/>
      <c r="I39" s="30"/>
      <c r="M39" s="94"/>
      <c r="N39" s="74"/>
    </row>
    <row r="40" spans="1:14" x14ac:dyDescent="0.25">
      <c r="B40" s="76"/>
      <c r="C40" s="185" t="s">
        <v>223</v>
      </c>
      <c r="E40" s="17">
        <f>表1!T121</f>
        <v>50</v>
      </c>
      <c r="G40" s="18">
        <f>表1!S48</f>
        <v>800</v>
      </c>
      <c r="I40" s="18">
        <f>表1!S120</f>
        <v>300</v>
      </c>
      <c r="K40" s="19">
        <f>G41</f>
        <v>2300</v>
      </c>
      <c r="M40" s="93">
        <f>E40*((G40/G41)-(I40/I41))*K40</f>
        <v>-17500.000000000004</v>
      </c>
      <c r="N40" s="74"/>
    </row>
    <row r="41" spans="1:14" x14ac:dyDescent="0.25">
      <c r="B41" s="76"/>
      <c r="C41" s="185"/>
      <c r="G41" s="18">
        <f>G38</f>
        <v>2300</v>
      </c>
      <c r="I41" s="18">
        <f>I38</f>
        <v>600</v>
      </c>
      <c r="M41" s="94"/>
      <c r="N41" s="74"/>
    </row>
    <row r="42" spans="1:14" x14ac:dyDescent="0.25">
      <c r="B42" s="76"/>
      <c r="C42" s="116"/>
      <c r="G42" s="30"/>
      <c r="I42" s="30"/>
      <c r="M42" s="94"/>
      <c r="N42" s="74"/>
    </row>
    <row r="43" spans="1:14" x14ac:dyDescent="0.25">
      <c r="B43" s="76"/>
      <c r="C43" t="s">
        <v>224</v>
      </c>
      <c r="M43" s="93">
        <f>SUM(M13:M41)</f>
        <v>-4292.4672352444722</v>
      </c>
      <c r="N43" s="74"/>
    </row>
    <row r="44" spans="1:14" ht="14.4" thickBot="1" x14ac:dyDescent="0.3">
      <c r="B44" s="69"/>
      <c r="C44" s="95"/>
      <c r="D44" s="95"/>
      <c r="E44" s="95"/>
      <c r="F44" s="112"/>
      <c r="G44" s="95"/>
      <c r="H44" s="95"/>
      <c r="I44" s="95"/>
      <c r="J44" s="95"/>
      <c r="K44" s="95"/>
      <c r="L44" s="95"/>
      <c r="M44" s="95"/>
      <c r="N44" s="70"/>
    </row>
    <row r="45" spans="1:14" x14ac:dyDescent="0.25">
      <c r="M45" s="13"/>
    </row>
    <row r="46" spans="1:14" x14ac:dyDescent="0.25">
      <c r="M46" s="13"/>
    </row>
    <row r="47" spans="1:14" x14ac:dyDescent="0.25">
      <c r="G47" s="19">
        <f>G13+G16+G22+G28+G31</f>
        <v>5510.0000003200003</v>
      </c>
      <c r="I47" s="19">
        <f>I13+I16+I22+I28+I31</f>
        <v>7215</v>
      </c>
    </row>
    <row r="48" spans="1:14" x14ac:dyDescent="0.25">
      <c r="G48" s="19">
        <f>G19+G25+G34</f>
        <v>1750</v>
      </c>
      <c r="I48" s="19">
        <f>I19+I25+I34</f>
        <v>1200.0000000700002</v>
      </c>
    </row>
    <row r="49" spans="7:9" x14ac:dyDescent="0.25">
      <c r="G49" s="19">
        <f>G37+G40</f>
        <v>2300</v>
      </c>
      <c r="I49" s="19">
        <f>I37+I40</f>
        <v>600</v>
      </c>
    </row>
    <row r="50" spans="7:9" x14ac:dyDescent="0.25">
      <c r="G50" s="30">
        <f>SUM(G47:G49)</f>
        <v>9560.0000003200003</v>
      </c>
      <c r="I50" s="30">
        <f>SUM(I47:I49)</f>
        <v>9015.0000000700002</v>
      </c>
    </row>
  </sheetData>
  <mergeCells count="10">
    <mergeCell ref="C40:C41"/>
    <mergeCell ref="C31:C32"/>
    <mergeCell ref="C34:C35"/>
    <mergeCell ref="C37:C38"/>
    <mergeCell ref="C13:C14"/>
    <mergeCell ref="C16:C17"/>
    <mergeCell ref="C19:C20"/>
    <mergeCell ref="C22:C23"/>
    <mergeCell ref="C25:C26"/>
    <mergeCell ref="C28:C29"/>
  </mergeCells>
  <phoneticPr fontId="13" type="noConversion"/>
  <pageMargins left="0.70866141732283472" right="0.70866141732283472" top="0.74803149606299213" bottom="0.74803149606299213" header="0.31496062992125984" footer="0.31496062992125984"/>
  <pageSetup paperSize="9" orientation="portrait" r:id="rId1"/>
  <headerFooter>
    <oddHeader>&amp;F</oddHeader>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V73"/>
  <sheetViews>
    <sheetView showGridLines="0" zoomScale="85" zoomScaleNormal="85" workbookViewId="0">
      <selection activeCell="C11" sqref="C11"/>
    </sheetView>
  </sheetViews>
  <sheetFormatPr defaultRowHeight="13.8" x14ac:dyDescent="0.25"/>
  <cols>
    <col min="1" max="2" width="1.77734375" customWidth="1"/>
    <col min="3" max="3" width="57.33203125" customWidth="1"/>
    <col min="4" max="19" width="9.77734375" customWidth="1"/>
    <col min="20" max="21" width="1.77734375" customWidth="1"/>
  </cols>
  <sheetData>
    <row r="1" spans="2:20" ht="14.4" thickBot="1" x14ac:dyDescent="0.3"/>
    <row r="2" spans="2:20" x14ac:dyDescent="0.25">
      <c r="B2" s="66"/>
      <c r="C2" s="73"/>
      <c r="D2" s="73"/>
      <c r="E2" s="73"/>
      <c r="F2" s="73"/>
      <c r="G2" s="73"/>
      <c r="H2" s="73"/>
      <c r="I2" s="73"/>
      <c r="J2" s="73"/>
      <c r="K2" s="73"/>
      <c r="L2" s="73"/>
      <c r="M2" s="73"/>
      <c r="N2" s="73"/>
      <c r="O2" s="73"/>
      <c r="P2" s="73"/>
      <c r="Q2" s="73"/>
      <c r="R2" s="73"/>
      <c r="S2" s="73"/>
      <c r="T2" s="67"/>
    </row>
    <row r="3" spans="2:20" x14ac:dyDescent="0.25">
      <c r="B3" s="76"/>
      <c r="C3" s="2" t="s">
        <v>225</v>
      </c>
      <c r="T3" s="74"/>
    </row>
    <row r="4" spans="2:20" x14ac:dyDescent="0.25">
      <c r="B4" s="76"/>
      <c r="C4" s="2"/>
      <c r="T4" s="74"/>
    </row>
    <row r="5" spans="2:20" x14ac:dyDescent="0.25">
      <c r="B5" s="76"/>
      <c r="C5" s="2" t="s">
        <v>226</v>
      </c>
      <c r="S5" s="6" t="str">
        <f>表1!S5</f>
        <v>合计</v>
      </c>
      <c r="T5" s="74"/>
    </row>
    <row r="6" spans="2:20" x14ac:dyDescent="0.25">
      <c r="B6" s="76"/>
      <c r="C6" s="3" t="str">
        <f>表1!C6</f>
        <v>客户记录</v>
      </c>
      <c r="D6" s="38">
        <f>表1!D6</f>
        <v>1</v>
      </c>
      <c r="E6" s="38">
        <f>表1!E6</f>
        <v>2</v>
      </c>
      <c r="F6" s="38">
        <f>表1!F6</f>
        <v>3</v>
      </c>
      <c r="G6" s="38">
        <f>表1!G6</f>
        <v>4</v>
      </c>
      <c r="H6" s="38">
        <f>表1!H6</f>
        <v>5</v>
      </c>
      <c r="I6" s="38">
        <f>表1!I6</f>
        <v>6</v>
      </c>
      <c r="J6" s="38">
        <f>表1!J6</f>
        <v>7</v>
      </c>
      <c r="K6" s="38">
        <f>表1!K6</f>
        <v>8</v>
      </c>
      <c r="L6" s="38">
        <f>表1!L6</f>
        <v>9</v>
      </c>
      <c r="M6" s="38">
        <f>表1!M6</f>
        <v>10</v>
      </c>
      <c r="N6" s="38">
        <f>表1!N6</f>
        <v>11</v>
      </c>
      <c r="O6" s="38">
        <f>表1!O6</f>
        <v>12</v>
      </c>
      <c r="P6" s="38">
        <f>表1!P6</f>
        <v>13</v>
      </c>
      <c r="Q6" s="38">
        <f>表1!Q6</f>
        <v>14</v>
      </c>
      <c r="R6" s="38">
        <f>表1!R6</f>
        <v>15</v>
      </c>
      <c r="T6" s="74"/>
    </row>
    <row r="7" spans="2:20" x14ac:dyDescent="0.25">
      <c r="B7" s="76"/>
      <c r="C7" s="3" t="str">
        <f>表1!C7</f>
        <v>客户</v>
      </c>
      <c r="D7" s="38" t="str">
        <f>表1!D7</f>
        <v>A</v>
      </c>
      <c r="E7" s="38" t="str">
        <f>表1!E7</f>
        <v>A</v>
      </c>
      <c r="F7" s="38" t="str">
        <f>表1!F7</f>
        <v>A</v>
      </c>
      <c r="G7" s="38" t="str">
        <f>表1!G7</f>
        <v>A</v>
      </c>
      <c r="H7" s="38" t="str">
        <f>表1!H7</f>
        <v>A</v>
      </c>
      <c r="I7" s="38" t="str">
        <f>表1!I7</f>
        <v>A</v>
      </c>
      <c r="J7" s="38" t="str">
        <f>表1!J7</f>
        <v>A</v>
      </c>
      <c r="K7" s="38" t="str">
        <f>表1!K7</f>
        <v>B</v>
      </c>
      <c r="L7" s="38" t="str">
        <f>表1!L7</f>
        <v>B</v>
      </c>
      <c r="M7" s="38" t="str">
        <f>表1!M7</f>
        <v>A</v>
      </c>
      <c r="N7" s="38" t="str">
        <f>表1!N7</f>
        <v>A</v>
      </c>
      <c r="O7" s="38" t="str">
        <f>表1!O7</f>
        <v>B</v>
      </c>
      <c r="P7" s="38" t="str">
        <f>表1!P7</f>
        <v>B</v>
      </c>
      <c r="Q7" s="38" t="str">
        <f>表1!Q7</f>
        <v>C</v>
      </c>
      <c r="R7" s="38" t="str">
        <f>表1!R7</f>
        <v>C</v>
      </c>
      <c r="T7" s="74"/>
    </row>
    <row r="8" spans="2:20" x14ac:dyDescent="0.25">
      <c r="B8" s="76"/>
      <c r="C8" s="3" t="str">
        <f>表1!C8</f>
        <v>仓库</v>
      </c>
      <c r="D8" s="38">
        <f>表1!D8</f>
        <v>1</v>
      </c>
      <c r="E8" s="38">
        <f>表1!E8</f>
        <v>1</v>
      </c>
      <c r="F8" s="38">
        <f>表1!F8</f>
        <v>1</v>
      </c>
      <c r="G8" s="38">
        <f>表1!G8</f>
        <v>2</v>
      </c>
      <c r="H8" s="38">
        <f>表1!H8</f>
        <v>2</v>
      </c>
      <c r="I8" s="38">
        <f>表1!I8</f>
        <v>2</v>
      </c>
      <c r="J8" s="38">
        <f>表1!J8</f>
        <v>2</v>
      </c>
      <c r="K8" s="38">
        <f>表1!K8</f>
        <v>2</v>
      </c>
      <c r="L8" s="38">
        <f>表1!L8</f>
        <v>2</v>
      </c>
      <c r="M8" s="38">
        <f>表1!M8</f>
        <v>3</v>
      </c>
      <c r="N8" s="38">
        <f>表1!N8</f>
        <v>3</v>
      </c>
      <c r="O8" s="38">
        <f>表1!O8</f>
        <v>3</v>
      </c>
      <c r="P8" s="38">
        <f>表1!P8</f>
        <v>3</v>
      </c>
      <c r="Q8" s="38">
        <f>表1!Q8</f>
        <v>3</v>
      </c>
      <c r="R8" s="38">
        <f>表1!R8</f>
        <v>4</v>
      </c>
      <c r="T8" s="74"/>
    </row>
    <row r="9" spans="2:20" x14ac:dyDescent="0.25">
      <c r="B9" s="76"/>
      <c r="C9" s="3" t="str">
        <f>表1!C9</f>
        <v>运输方式（后一段）</v>
      </c>
      <c r="D9" s="38" t="str">
        <f>表1!D9</f>
        <v>卡车</v>
      </c>
      <c r="E9" s="38" t="str">
        <f>表1!E9</f>
        <v>卡车</v>
      </c>
      <c r="F9" s="38" t="str">
        <f>表1!F9</f>
        <v>卡车</v>
      </c>
      <c r="G9" s="38" t="str">
        <f>表1!G9</f>
        <v>铁路</v>
      </c>
      <c r="H9" s="38" t="str">
        <f>表1!H9</f>
        <v>铁路</v>
      </c>
      <c r="I9" s="38" t="str">
        <f>表1!I9</f>
        <v>驳船</v>
      </c>
      <c r="J9" s="38" t="str">
        <f>表1!J9</f>
        <v>卡车</v>
      </c>
      <c r="K9" s="38" t="str">
        <f>表1!K9</f>
        <v>卡车</v>
      </c>
      <c r="L9" s="38" t="str">
        <f>表1!L9</f>
        <v>卡车</v>
      </c>
      <c r="M9" s="38" t="str">
        <f>表1!M9</f>
        <v>卡车</v>
      </c>
      <c r="N9" s="38" t="str">
        <f>表1!N9</f>
        <v>铁路</v>
      </c>
      <c r="O9" s="38" t="str">
        <f>表1!O9</f>
        <v>铁路</v>
      </c>
      <c r="P9" s="38" t="str">
        <f>表1!P9</f>
        <v>铁路</v>
      </c>
      <c r="Q9" s="38" t="str">
        <f>表1!Q9</f>
        <v>铁路</v>
      </c>
      <c r="R9" s="38" t="str">
        <f>表1!R9</f>
        <v>铁路</v>
      </c>
      <c r="T9" s="74"/>
    </row>
    <row r="10" spans="2:20" x14ac:dyDescent="0.25">
      <c r="B10" s="76"/>
      <c r="C10" s="3" t="str">
        <f>表1!C10</f>
        <v>承运商（后一段）</v>
      </c>
      <c r="D10" s="38" t="str">
        <f>表1!D10</f>
        <v>卡车-1</v>
      </c>
      <c r="E10" s="38" t="str">
        <f>表1!E10</f>
        <v>卡车-2</v>
      </c>
      <c r="F10" s="38" t="str">
        <f>表1!F10</f>
        <v>卡车-3</v>
      </c>
      <c r="G10" s="38" t="str">
        <f>表1!G10</f>
        <v>铁路-1</v>
      </c>
      <c r="H10" s="38" t="str">
        <f>表1!H10</f>
        <v>铁路-2</v>
      </c>
      <c r="I10" s="38" t="str">
        <f>表1!I10</f>
        <v>驳船-1</v>
      </c>
      <c r="J10" s="38" t="str">
        <f>表1!J10</f>
        <v>卡车-2</v>
      </c>
      <c r="K10" s="38" t="str">
        <f>表1!K10</f>
        <v>卡车-3</v>
      </c>
      <c r="L10" s="38" t="str">
        <f>表1!L10</f>
        <v>卡车-4</v>
      </c>
      <c r="M10" s="38" t="str">
        <f>表1!M10</f>
        <v>卡车-1</v>
      </c>
      <c r="N10" s="38" t="str">
        <f>表1!N10</f>
        <v>铁路-2</v>
      </c>
      <c r="O10" s="38" t="str">
        <f>表1!O10</f>
        <v>铁路-2</v>
      </c>
      <c r="P10" s="38" t="str">
        <f>表1!P10</f>
        <v>铁路-3</v>
      </c>
      <c r="Q10" s="38" t="str">
        <f>表1!Q10</f>
        <v>铁路-3</v>
      </c>
      <c r="R10" s="38" t="str">
        <f>表1!R10</f>
        <v>铁路-3</v>
      </c>
      <c r="T10" s="74"/>
    </row>
    <row r="11" spans="2:20" x14ac:dyDescent="0.25">
      <c r="B11" s="76"/>
      <c r="C11" s="175" t="s">
        <v>227</v>
      </c>
      <c r="D11" s="150">
        <v>0.45</v>
      </c>
      <c r="G11" s="1"/>
      <c r="T11" s="74"/>
    </row>
    <row r="12" spans="2:20" x14ac:dyDescent="0.25">
      <c r="B12" s="76"/>
      <c r="C12" t="s">
        <v>228</v>
      </c>
      <c r="D12">
        <v>103</v>
      </c>
      <c r="T12" s="74"/>
    </row>
    <row r="13" spans="2:20" x14ac:dyDescent="0.25">
      <c r="B13" s="76"/>
      <c r="C13" t="s">
        <v>229</v>
      </c>
      <c r="D13" s="29">
        <f>($D11*$D12/100+(1-$D11))*表1!D73</f>
        <v>1621.6000000000001</v>
      </c>
      <c r="E13" s="29">
        <f>($D11*$D12/100+(1-$D11))*表1!E73</f>
        <v>1722.95</v>
      </c>
      <c r="F13" s="29">
        <f>($D11*$D12/100+(1-$D11))*表1!F73</f>
        <v>1672.2750000000001</v>
      </c>
      <c r="G13" s="29">
        <f>($D11*$D12/100+(1-$D11))*表1!G73</f>
        <v>4307.375</v>
      </c>
      <c r="H13" s="29">
        <f>($D11*$D12/100+(1-$D11))*表1!H73</f>
        <v>3952.65</v>
      </c>
      <c r="I13" s="29">
        <f>($D11*$D12/100+(1-$D11))*表1!I73</f>
        <v>8108.0000000000009</v>
      </c>
      <c r="J13" s="29">
        <f>($D11*$D12/100+(1-$D11))*表1!J73</f>
        <v>1418.9</v>
      </c>
      <c r="K13" s="29">
        <f>($D11*$D12/100+(1-$D11))*表1!K73</f>
        <v>1317.5500000000002</v>
      </c>
      <c r="L13" s="29">
        <f>($D11*$D12/100+(1-$D11))*表1!L73</f>
        <v>1900.3125000000002</v>
      </c>
      <c r="M13" s="29">
        <f>($D11*$D12/100+(1-$D11))*表1!M73</f>
        <v>1520.25</v>
      </c>
      <c r="N13" s="29">
        <f>($D11*$D12/100+(1-$D11))*表1!N73</f>
        <v>4864.8</v>
      </c>
      <c r="O13" s="29">
        <f>($D11*$D12/100+(1-$D11))*表1!O73</f>
        <v>4864.8</v>
      </c>
      <c r="P13" s="29">
        <f>($D11*$D12/100+(1-$D11))*表1!P73</f>
        <v>4864.8</v>
      </c>
      <c r="Q13" s="29">
        <f>($D11*$D12/100+(1-$D11))*表1!Q73</f>
        <v>7094.5000000000009</v>
      </c>
      <c r="R13" s="29">
        <f>($D11*$D12/100+(1-$D11))*表1!R73</f>
        <v>7601.2500000000009</v>
      </c>
      <c r="T13" s="74"/>
    </row>
    <row r="14" spans="2:20" x14ac:dyDescent="0.25">
      <c r="B14" s="76"/>
      <c r="C14" t="s">
        <v>230</v>
      </c>
      <c r="D14" s="29">
        <f>表1!D73</f>
        <v>1600</v>
      </c>
      <c r="E14" s="29">
        <f>表1!E73</f>
        <v>1700</v>
      </c>
      <c r="F14" s="29">
        <f>表1!F73</f>
        <v>1650</v>
      </c>
      <c r="G14" s="29">
        <f>表1!G73</f>
        <v>4250</v>
      </c>
      <c r="H14" s="29">
        <f>表1!H73</f>
        <v>3900</v>
      </c>
      <c r="I14" s="29">
        <f>表1!I73</f>
        <v>8000</v>
      </c>
      <c r="J14" s="29">
        <f>表1!J73</f>
        <v>1400</v>
      </c>
      <c r="K14" s="29">
        <f>表1!K73</f>
        <v>1300</v>
      </c>
      <c r="L14" s="29">
        <f>表1!L73</f>
        <v>1875</v>
      </c>
      <c r="M14" s="29">
        <f>表1!M73</f>
        <v>1500</v>
      </c>
      <c r="N14" s="29">
        <f>表1!N73</f>
        <v>4800</v>
      </c>
      <c r="O14" s="29">
        <f>表1!O73</f>
        <v>4800</v>
      </c>
      <c r="P14" s="29">
        <f>表1!P73</f>
        <v>4800</v>
      </c>
      <c r="Q14" s="29">
        <f>表1!Q73</f>
        <v>7000</v>
      </c>
      <c r="R14" s="29">
        <f>表1!R73</f>
        <v>7500</v>
      </c>
      <c r="T14" s="74"/>
    </row>
    <row r="15" spans="2:20" x14ac:dyDescent="0.25">
      <c r="B15" s="76"/>
      <c r="C15" t="s">
        <v>231</v>
      </c>
      <c r="D15" s="29">
        <f>表1!D16</f>
        <v>1660</v>
      </c>
      <c r="E15" s="29">
        <f>表1!E16</f>
        <v>1700</v>
      </c>
      <c r="F15" s="29">
        <f>表1!F16</f>
        <v>1650</v>
      </c>
      <c r="G15" s="29">
        <f>表1!G16</f>
        <v>4378</v>
      </c>
      <c r="H15" s="29">
        <f>表1!H16</f>
        <v>4000</v>
      </c>
      <c r="I15" s="29">
        <f>表1!I16</f>
        <v>8240</v>
      </c>
      <c r="J15" s="29">
        <f>表1!J16</f>
        <v>1442</v>
      </c>
      <c r="K15" s="29">
        <f>表1!K16</f>
        <v>1300</v>
      </c>
      <c r="L15" s="29">
        <f>表1!L16</f>
        <v>1875</v>
      </c>
      <c r="M15" s="29">
        <f>表1!M16</f>
        <v>1545</v>
      </c>
      <c r="N15" s="29">
        <f>表1!N16</f>
        <v>4900</v>
      </c>
      <c r="O15" s="29">
        <f>表1!O16</f>
        <v>4900</v>
      </c>
      <c r="P15" s="29">
        <f>表1!P16</f>
        <v>4944</v>
      </c>
      <c r="Q15" s="29">
        <f>表1!Q16</f>
        <v>7300</v>
      </c>
      <c r="R15" s="29">
        <f>表1!R16</f>
        <v>7725</v>
      </c>
      <c r="T15" s="74"/>
    </row>
    <row r="16" spans="2:20" x14ac:dyDescent="0.25">
      <c r="B16" s="76"/>
      <c r="C16" t="s">
        <v>232</v>
      </c>
      <c r="D16" s="26">
        <f>表1!D11</f>
        <v>25</v>
      </c>
      <c r="E16" s="151">
        <f>表1!E11</f>
        <v>1.0999999999999999E-8</v>
      </c>
      <c r="F16" s="151">
        <f>表1!F11</f>
        <v>6E-9</v>
      </c>
      <c r="G16" s="26">
        <f>表1!G11</f>
        <v>5</v>
      </c>
      <c r="H16" s="26">
        <f>表1!H11</f>
        <v>10</v>
      </c>
      <c r="I16" s="26">
        <f>表1!I11</f>
        <v>1</v>
      </c>
      <c r="J16" s="26">
        <f>表1!J11</f>
        <v>70</v>
      </c>
      <c r="K16" s="26">
        <f>表1!K11</f>
        <v>30</v>
      </c>
      <c r="L16" s="26">
        <f>表1!L11</f>
        <v>4</v>
      </c>
      <c r="M16" s="26">
        <f>表1!M11</f>
        <v>75</v>
      </c>
      <c r="N16" s="26">
        <f>表1!N11</f>
        <v>8</v>
      </c>
      <c r="O16" s="26">
        <f>表1!O11</f>
        <v>8</v>
      </c>
      <c r="P16" s="26">
        <f>表1!P11</f>
        <v>5</v>
      </c>
      <c r="Q16" s="26">
        <f>表1!Q11</f>
        <v>20</v>
      </c>
      <c r="R16" s="26">
        <f>表1!R11</f>
        <v>10</v>
      </c>
      <c r="T16" s="74"/>
    </row>
    <row r="17" spans="2:22" x14ac:dyDescent="0.25">
      <c r="B17" s="76"/>
      <c r="C17" s="152" t="s">
        <v>233</v>
      </c>
      <c r="D17" s="153">
        <f>(D13-D14)*D16</f>
        <v>540.00000000000341</v>
      </c>
      <c r="E17" s="153">
        <f t="shared" ref="E17:R17" si="0">(E13-E14)*E16</f>
        <v>2.5245000000000049E-7</v>
      </c>
      <c r="F17" s="153">
        <f t="shared" si="0"/>
        <v>1.3365000000000054E-7</v>
      </c>
      <c r="G17" s="153">
        <f t="shared" si="0"/>
        <v>286.875</v>
      </c>
      <c r="H17" s="153">
        <f t="shared" si="0"/>
        <v>526.50000000000091</v>
      </c>
      <c r="I17" s="153">
        <f t="shared" si="0"/>
        <v>108.00000000000091</v>
      </c>
      <c r="J17" s="153">
        <f t="shared" si="0"/>
        <v>1323.0000000000064</v>
      </c>
      <c r="K17" s="153">
        <f t="shared" si="0"/>
        <v>526.50000000000546</v>
      </c>
      <c r="L17" s="153">
        <f t="shared" si="0"/>
        <v>101.25000000000091</v>
      </c>
      <c r="M17" s="153">
        <f t="shared" si="0"/>
        <v>1518.75</v>
      </c>
      <c r="N17" s="153">
        <f t="shared" si="0"/>
        <v>518.40000000000146</v>
      </c>
      <c r="O17" s="153">
        <f t="shared" si="0"/>
        <v>518.40000000000146</v>
      </c>
      <c r="P17" s="153">
        <f t="shared" si="0"/>
        <v>324.00000000000091</v>
      </c>
      <c r="Q17" s="153">
        <f t="shared" si="0"/>
        <v>1890.0000000000182</v>
      </c>
      <c r="R17" s="153">
        <f t="shared" si="0"/>
        <v>1012.5000000000091</v>
      </c>
      <c r="S17" s="154">
        <f>SUM(D17:R17)</f>
        <v>9194.1750003861489</v>
      </c>
      <c r="T17" s="74"/>
    </row>
    <row r="18" spans="2:22" x14ac:dyDescent="0.25">
      <c r="B18" s="76"/>
      <c r="C18" s="158" t="s">
        <v>234</v>
      </c>
      <c r="D18" s="29">
        <f>(D15-D13)*D16</f>
        <v>959.99999999999659</v>
      </c>
      <c r="E18" s="29">
        <f t="shared" ref="E18:R18" si="1">(E15-E13)*E16</f>
        <v>-2.5245000000000049E-7</v>
      </c>
      <c r="F18" s="29">
        <f t="shared" si="1"/>
        <v>-1.3365000000000054E-7</v>
      </c>
      <c r="G18" s="29">
        <f t="shared" si="1"/>
        <v>353.125</v>
      </c>
      <c r="H18" s="29">
        <f t="shared" si="1"/>
        <v>473.49999999999909</v>
      </c>
      <c r="I18" s="29">
        <f t="shared" si="1"/>
        <v>131.99999999999909</v>
      </c>
      <c r="J18" s="29">
        <f t="shared" si="1"/>
        <v>1616.9999999999936</v>
      </c>
      <c r="K18" s="29">
        <f t="shared" si="1"/>
        <v>-526.50000000000546</v>
      </c>
      <c r="L18" s="29">
        <f t="shared" si="1"/>
        <v>-101.25000000000091</v>
      </c>
      <c r="M18" s="29">
        <f t="shared" si="1"/>
        <v>1856.25</v>
      </c>
      <c r="N18" s="29">
        <f t="shared" si="1"/>
        <v>281.59999999999854</v>
      </c>
      <c r="O18" s="29">
        <f t="shared" si="1"/>
        <v>281.59999999999854</v>
      </c>
      <c r="P18" s="29">
        <f t="shared" si="1"/>
        <v>395.99999999999909</v>
      </c>
      <c r="Q18" s="29">
        <f t="shared" si="1"/>
        <v>4109.9999999999818</v>
      </c>
      <c r="R18" s="29">
        <f t="shared" si="1"/>
        <v>1237.4999999999909</v>
      </c>
      <c r="S18" s="155">
        <f>SUM(D18:R18)</f>
        <v>11070.824999613851</v>
      </c>
      <c r="T18" s="74"/>
    </row>
    <row r="19" spans="2:22" x14ac:dyDescent="0.25">
      <c r="B19" s="76"/>
      <c r="C19" s="159" t="s">
        <v>224</v>
      </c>
      <c r="D19" s="45">
        <f t="shared" ref="D19:R19" si="2">SUM(D17:D18)</f>
        <v>1500</v>
      </c>
      <c r="E19" s="45">
        <f t="shared" si="2"/>
        <v>0</v>
      </c>
      <c r="F19" s="45">
        <f t="shared" si="2"/>
        <v>0</v>
      </c>
      <c r="G19" s="45">
        <f t="shared" si="2"/>
        <v>640</v>
      </c>
      <c r="H19" s="45">
        <f t="shared" si="2"/>
        <v>1000</v>
      </c>
      <c r="I19" s="45">
        <f t="shared" si="2"/>
        <v>240</v>
      </c>
      <c r="J19" s="45">
        <f t="shared" si="2"/>
        <v>2940</v>
      </c>
      <c r="K19" s="45">
        <f t="shared" si="2"/>
        <v>0</v>
      </c>
      <c r="L19" s="45">
        <f t="shared" si="2"/>
        <v>0</v>
      </c>
      <c r="M19" s="45">
        <f t="shared" si="2"/>
        <v>3375</v>
      </c>
      <c r="N19" s="45">
        <f t="shared" si="2"/>
        <v>800</v>
      </c>
      <c r="O19" s="45">
        <f t="shared" si="2"/>
        <v>800</v>
      </c>
      <c r="P19" s="45">
        <f t="shared" si="2"/>
        <v>720</v>
      </c>
      <c r="Q19" s="45">
        <f t="shared" si="2"/>
        <v>6000</v>
      </c>
      <c r="R19" s="45">
        <f t="shared" si="2"/>
        <v>2250</v>
      </c>
      <c r="S19" s="156">
        <f>SUM(D19:R19)</f>
        <v>20265</v>
      </c>
      <c r="T19" s="74"/>
      <c r="V19" s="31">
        <f>SUM(S17:S18)</f>
        <v>20265</v>
      </c>
    </row>
    <row r="20" spans="2:22" x14ac:dyDescent="0.25">
      <c r="B20" s="76"/>
      <c r="D20" s="31">
        <f>表1!D157</f>
        <v>1500</v>
      </c>
      <c r="E20" s="31">
        <f>表1!E157</f>
        <v>0</v>
      </c>
      <c r="F20" s="31">
        <f>表1!F157</f>
        <v>0</v>
      </c>
      <c r="G20" s="31">
        <f>表1!G157</f>
        <v>640</v>
      </c>
      <c r="H20" s="31">
        <f>表1!H157</f>
        <v>1000</v>
      </c>
      <c r="I20" s="31">
        <f>表1!I157</f>
        <v>240</v>
      </c>
      <c r="J20" s="31">
        <f>表1!J157</f>
        <v>2940</v>
      </c>
      <c r="K20" s="31">
        <f>表1!K157</f>
        <v>0</v>
      </c>
      <c r="L20" s="31">
        <f>表1!L157</f>
        <v>0</v>
      </c>
      <c r="M20" s="31">
        <f>表1!M157</f>
        <v>3375</v>
      </c>
      <c r="N20" s="31">
        <f>表1!N157</f>
        <v>800</v>
      </c>
      <c r="O20" s="31">
        <f>表1!O157</f>
        <v>800</v>
      </c>
      <c r="P20" s="31">
        <f>表1!P157</f>
        <v>720</v>
      </c>
      <c r="Q20" s="31">
        <f>表1!Q157</f>
        <v>6000</v>
      </c>
      <c r="R20" s="31">
        <f>表1!R157</f>
        <v>2250</v>
      </c>
      <c r="S20" s="31">
        <f>SUM(D20:R20)</f>
        <v>20265</v>
      </c>
      <c r="T20" s="74"/>
      <c r="V20" s="31">
        <f>表1!S157</f>
        <v>20265</v>
      </c>
    </row>
    <row r="21" spans="2:22" x14ac:dyDescent="0.25">
      <c r="B21" s="76"/>
      <c r="T21" s="74"/>
    </row>
    <row r="22" spans="2:22" x14ac:dyDescent="0.25">
      <c r="B22" s="76"/>
      <c r="C22" s="2" t="s">
        <v>235</v>
      </c>
      <c r="T22" s="74"/>
    </row>
    <row r="23" spans="2:22" x14ac:dyDescent="0.25">
      <c r="B23" s="76"/>
      <c r="C23" s="59" t="s">
        <v>236</v>
      </c>
      <c r="T23" s="74"/>
    </row>
    <row r="24" spans="2:22" x14ac:dyDescent="0.25">
      <c r="B24" s="76"/>
      <c r="C24" s="2" t="s">
        <v>237</v>
      </c>
      <c r="T24" s="74"/>
    </row>
    <row r="25" spans="2:22" x14ac:dyDescent="0.25">
      <c r="B25" s="76"/>
      <c r="C25" t="s">
        <v>239</v>
      </c>
      <c r="D25" s="111">
        <v>10</v>
      </c>
      <c r="E25" s="111">
        <v>15</v>
      </c>
      <c r="F25" s="111">
        <v>17</v>
      </c>
      <c r="G25" s="111">
        <v>17</v>
      </c>
      <c r="H25" s="111">
        <v>18</v>
      </c>
      <c r="I25" s="111">
        <v>0</v>
      </c>
      <c r="J25" s="111">
        <v>18</v>
      </c>
      <c r="K25" s="111">
        <v>16</v>
      </c>
      <c r="L25" s="111">
        <v>17</v>
      </c>
      <c r="M25" s="111">
        <v>26</v>
      </c>
      <c r="N25" s="111">
        <v>18</v>
      </c>
      <c r="O25" s="111">
        <v>17</v>
      </c>
      <c r="P25" s="111">
        <v>20</v>
      </c>
      <c r="Q25" s="111">
        <v>0</v>
      </c>
      <c r="R25" s="111">
        <v>0</v>
      </c>
      <c r="T25" s="74"/>
    </row>
    <row r="26" spans="2:22" x14ac:dyDescent="0.25">
      <c r="B26" s="76"/>
      <c r="C26" t="s">
        <v>238</v>
      </c>
      <c r="D26" s="107">
        <f t="shared" ref="D26:R26" si="3">(D28-D27*D25)/(1-D27)</f>
        <v>17.5</v>
      </c>
      <c r="E26" s="107">
        <f t="shared" si="3"/>
        <v>16.25</v>
      </c>
      <c r="F26" s="107">
        <f t="shared" si="3"/>
        <v>22</v>
      </c>
      <c r="G26" s="107">
        <f t="shared" si="3"/>
        <v>27</v>
      </c>
      <c r="H26" s="107">
        <f t="shared" si="3"/>
        <v>21.750000000000004</v>
      </c>
      <c r="I26" s="107">
        <f t="shared" si="3"/>
        <v>0</v>
      </c>
      <c r="J26" s="107">
        <f t="shared" si="3"/>
        <v>23</v>
      </c>
      <c r="K26" s="107">
        <f t="shared" si="3"/>
        <v>23.5</v>
      </c>
      <c r="L26" s="107">
        <f t="shared" si="3"/>
        <v>24.5</v>
      </c>
      <c r="M26" s="107">
        <f t="shared" si="3"/>
        <v>48.499999999999986</v>
      </c>
      <c r="N26" s="107">
        <f t="shared" si="3"/>
        <v>60.857142857142854</v>
      </c>
      <c r="O26" s="107">
        <f t="shared" si="3"/>
        <v>48.914893617021285</v>
      </c>
      <c r="P26" s="107">
        <f t="shared" si="3"/>
        <v>45</v>
      </c>
      <c r="Q26" s="107">
        <f t="shared" si="3"/>
        <v>0</v>
      </c>
      <c r="R26" s="107">
        <f t="shared" si="3"/>
        <v>0</v>
      </c>
      <c r="T26" s="74"/>
    </row>
    <row r="27" spans="2:22" x14ac:dyDescent="0.25">
      <c r="B27" s="76"/>
      <c r="C27" t="s">
        <v>240</v>
      </c>
      <c r="D27" s="139">
        <v>0.2</v>
      </c>
      <c r="E27" s="139">
        <v>0.6</v>
      </c>
      <c r="F27" s="139">
        <v>0.6</v>
      </c>
      <c r="G27" s="139">
        <v>0.6</v>
      </c>
      <c r="H27" s="139">
        <v>0.7333333333333335</v>
      </c>
      <c r="I27" s="139">
        <v>0.6</v>
      </c>
      <c r="J27" s="139">
        <v>0.6</v>
      </c>
      <c r="K27" s="139">
        <v>0.6</v>
      </c>
      <c r="L27" s="139">
        <v>0.6</v>
      </c>
      <c r="M27" s="139">
        <v>0.68888888888888866</v>
      </c>
      <c r="N27" s="139">
        <v>0.57999999999999996</v>
      </c>
      <c r="O27" s="139">
        <v>0.53</v>
      </c>
      <c r="P27" s="139">
        <v>0.6</v>
      </c>
      <c r="Q27" s="139">
        <v>0.6</v>
      </c>
      <c r="R27" s="139">
        <v>0.6</v>
      </c>
      <c r="T27" s="74"/>
    </row>
    <row r="28" spans="2:22" x14ac:dyDescent="0.25">
      <c r="B28" s="76"/>
      <c r="C28" t="s">
        <v>241</v>
      </c>
      <c r="D28" s="107">
        <f>表1!D18</f>
        <v>16</v>
      </c>
      <c r="E28" s="107">
        <f>表1!E18</f>
        <v>15.5</v>
      </c>
      <c r="F28" s="107">
        <f>表1!F18</f>
        <v>19</v>
      </c>
      <c r="G28" s="107">
        <f>表1!G18</f>
        <v>21</v>
      </c>
      <c r="H28" s="107">
        <f>表1!H18</f>
        <v>19</v>
      </c>
      <c r="I28" s="107">
        <f>表1!I18</f>
        <v>0</v>
      </c>
      <c r="J28" s="107">
        <f>表1!J18</f>
        <v>20</v>
      </c>
      <c r="K28" s="107">
        <f>表1!K18</f>
        <v>19</v>
      </c>
      <c r="L28" s="107">
        <f>表1!L18</f>
        <v>20</v>
      </c>
      <c r="M28" s="107">
        <f>表1!M18</f>
        <v>33</v>
      </c>
      <c r="N28" s="107">
        <f>表1!N18</f>
        <v>36</v>
      </c>
      <c r="O28" s="107">
        <f>表1!O18</f>
        <v>32</v>
      </c>
      <c r="P28" s="107">
        <f>表1!P18</f>
        <v>30</v>
      </c>
      <c r="Q28" s="107">
        <f>表1!Q18</f>
        <v>0</v>
      </c>
      <c r="R28" s="107">
        <f>表1!R18</f>
        <v>0</v>
      </c>
      <c r="T28" s="74"/>
    </row>
    <row r="29" spans="2:22" x14ac:dyDescent="0.25">
      <c r="B29" s="76"/>
      <c r="C29" t="s">
        <v>242</v>
      </c>
      <c r="D29" s="111">
        <v>0</v>
      </c>
      <c r="E29" s="111">
        <v>0</v>
      </c>
      <c r="F29" s="111">
        <v>0</v>
      </c>
      <c r="G29" s="111">
        <v>0</v>
      </c>
      <c r="H29" s="111">
        <v>17</v>
      </c>
      <c r="I29" s="111">
        <v>15.5</v>
      </c>
      <c r="J29" s="111">
        <v>17</v>
      </c>
      <c r="K29" s="111">
        <v>0</v>
      </c>
      <c r="L29" s="111">
        <v>0</v>
      </c>
      <c r="M29" s="111">
        <v>17</v>
      </c>
      <c r="N29" s="111">
        <v>0</v>
      </c>
      <c r="O29" s="111">
        <v>0</v>
      </c>
      <c r="P29" s="111">
        <v>17</v>
      </c>
      <c r="Q29" s="111">
        <v>40</v>
      </c>
      <c r="R29" s="111">
        <v>40</v>
      </c>
      <c r="T29" s="74"/>
    </row>
    <row r="30" spans="2:22" x14ac:dyDescent="0.25">
      <c r="B30" s="76"/>
      <c r="C30" t="s">
        <v>243</v>
      </c>
      <c r="D30" s="107">
        <f t="shared" ref="D30:R30" si="4">(D32-D31*D29)/(1-D31)</f>
        <v>0</v>
      </c>
      <c r="E30" s="107">
        <f t="shared" si="4"/>
        <v>0</v>
      </c>
      <c r="F30" s="107">
        <f t="shared" si="4"/>
        <v>0</v>
      </c>
      <c r="G30" s="107">
        <f t="shared" si="4"/>
        <v>0</v>
      </c>
      <c r="H30" s="107">
        <f t="shared" si="4"/>
        <v>24.5</v>
      </c>
      <c r="I30" s="107">
        <f t="shared" si="4"/>
        <v>24.5</v>
      </c>
      <c r="J30" s="107">
        <f t="shared" si="4"/>
        <v>24.5</v>
      </c>
      <c r="K30" s="107">
        <f t="shared" si="4"/>
        <v>0</v>
      </c>
      <c r="L30" s="107">
        <f t="shared" si="4"/>
        <v>0</v>
      </c>
      <c r="M30" s="107">
        <f t="shared" si="4"/>
        <v>89.499999999999986</v>
      </c>
      <c r="N30" s="107">
        <f t="shared" si="4"/>
        <v>0</v>
      </c>
      <c r="O30" s="107">
        <f t="shared" si="4"/>
        <v>0</v>
      </c>
      <c r="P30" s="107">
        <f t="shared" si="4"/>
        <v>67</v>
      </c>
      <c r="Q30" s="107">
        <f t="shared" si="4"/>
        <v>68.571428571428569</v>
      </c>
      <c r="R30" s="107">
        <f t="shared" si="4"/>
        <v>74.210526315789465</v>
      </c>
      <c r="T30" s="74"/>
    </row>
    <row r="31" spans="2:22" x14ac:dyDescent="0.25">
      <c r="B31" s="76"/>
      <c r="C31" t="s">
        <v>244</v>
      </c>
      <c r="D31" s="139">
        <v>0</v>
      </c>
      <c r="E31" s="139">
        <v>0</v>
      </c>
      <c r="F31" s="139">
        <v>0</v>
      </c>
      <c r="G31" s="139">
        <v>0</v>
      </c>
      <c r="H31" s="139">
        <v>0.6</v>
      </c>
      <c r="I31" s="139">
        <v>0.5</v>
      </c>
      <c r="J31" s="139">
        <v>0.6</v>
      </c>
      <c r="K31" s="139">
        <v>0</v>
      </c>
      <c r="L31" s="139">
        <v>0</v>
      </c>
      <c r="M31" s="139">
        <v>0.6</v>
      </c>
      <c r="N31" s="139">
        <v>0</v>
      </c>
      <c r="O31" s="139">
        <v>0</v>
      </c>
      <c r="P31" s="139">
        <v>0.6</v>
      </c>
      <c r="Q31" s="139">
        <v>0.57999999999999996</v>
      </c>
      <c r="R31" s="139">
        <v>0.62</v>
      </c>
      <c r="T31" s="74"/>
    </row>
    <row r="32" spans="2:22" x14ac:dyDescent="0.25">
      <c r="B32" s="76"/>
      <c r="C32" s="43" t="s">
        <v>245</v>
      </c>
      <c r="D32" s="44">
        <f>表1!D19</f>
        <v>0</v>
      </c>
      <c r="E32" s="44">
        <f>表1!E19</f>
        <v>0</v>
      </c>
      <c r="F32" s="44">
        <f>表1!F19</f>
        <v>0</v>
      </c>
      <c r="G32" s="44">
        <f>表1!G19</f>
        <v>0</v>
      </c>
      <c r="H32" s="44">
        <f>表1!H19</f>
        <v>20</v>
      </c>
      <c r="I32" s="44">
        <f>表1!I19</f>
        <v>20</v>
      </c>
      <c r="J32" s="44">
        <f>表1!J19</f>
        <v>20</v>
      </c>
      <c r="K32" s="44">
        <f>表1!K19</f>
        <v>0</v>
      </c>
      <c r="L32" s="44">
        <f>表1!L19</f>
        <v>0</v>
      </c>
      <c r="M32" s="44">
        <f>表1!M19</f>
        <v>46</v>
      </c>
      <c r="N32" s="44">
        <f>表1!N19</f>
        <v>0</v>
      </c>
      <c r="O32" s="44">
        <f>表1!O19</f>
        <v>0</v>
      </c>
      <c r="P32" s="44">
        <f>表1!P19</f>
        <v>37</v>
      </c>
      <c r="Q32" s="44">
        <f>表1!Q19</f>
        <v>52</v>
      </c>
      <c r="R32" s="44">
        <f>表1!R19</f>
        <v>53</v>
      </c>
      <c r="T32" s="74"/>
    </row>
    <row r="33" spans="2:20" x14ac:dyDescent="0.25">
      <c r="B33" s="76"/>
      <c r="C33" s="2" t="s">
        <v>246</v>
      </c>
      <c r="D33" s="1"/>
      <c r="E33" s="1"/>
      <c r="F33" s="1"/>
      <c r="G33" s="1"/>
      <c r="H33" s="1"/>
      <c r="I33" s="1"/>
      <c r="J33" s="1"/>
      <c r="K33" s="1"/>
      <c r="L33" s="1"/>
      <c r="M33" s="1"/>
      <c r="N33" s="1"/>
      <c r="O33" s="1"/>
      <c r="P33" s="1"/>
      <c r="Q33" s="1"/>
      <c r="R33" s="1"/>
      <c r="T33" s="74"/>
    </row>
    <row r="34" spans="2:20" x14ac:dyDescent="0.25">
      <c r="B34" s="76"/>
      <c r="C34" s="3" t="str">
        <f t="shared" ref="C34:C41" si="5">C25</f>
        <v>FTL，工厂1的单位成本</v>
      </c>
      <c r="D34" s="111">
        <v>14</v>
      </c>
      <c r="E34" s="111">
        <v>15</v>
      </c>
      <c r="F34" s="111">
        <v>17</v>
      </c>
      <c r="G34" s="111">
        <v>17</v>
      </c>
      <c r="H34" s="111">
        <v>17</v>
      </c>
      <c r="I34" s="111">
        <v>0</v>
      </c>
      <c r="J34" s="111">
        <v>17</v>
      </c>
      <c r="K34" s="111">
        <v>16</v>
      </c>
      <c r="L34" s="111">
        <v>17</v>
      </c>
      <c r="M34" s="111">
        <v>26</v>
      </c>
      <c r="N34" s="111">
        <v>17</v>
      </c>
      <c r="O34" s="111">
        <v>17</v>
      </c>
      <c r="P34" s="111">
        <v>20</v>
      </c>
      <c r="Q34" s="111">
        <v>0</v>
      </c>
      <c r="R34" s="111">
        <v>0</v>
      </c>
      <c r="T34" s="74"/>
    </row>
    <row r="35" spans="2:20" x14ac:dyDescent="0.25">
      <c r="B35" s="76"/>
      <c r="C35" s="3" t="str">
        <f t="shared" si="5"/>
        <v>LTL，工厂1的单位成本</v>
      </c>
      <c r="D35" s="107">
        <f t="shared" ref="D35:R35" si="6">(D37-D36*D34)/(1-D36)</f>
        <v>16.499999999999996</v>
      </c>
      <c r="E35" s="107">
        <f t="shared" si="6"/>
        <v>16.25</v>
      </c>
      <c r="F35" s="107">
        <f t="shared" si="6"/>
        <v>22</v>
      </c>
      <c r="G35" s="107">
        <f t="shared" si="6"/>
        <v>24.5</v>
      </c>
      <c r="H35" s="107">
        <f t="shared" si="6"/>
        <v>24.5</v>
      </c>
      <c r="I35" s="107">
        <f t="shared" si="6"/>
        <v>0</v>
      </c>
      <c r="J35" s="107">
        <f t="shared" si="6"/>
        <v>24.5</v>
      </c>
      <c r="K35" s="107">
        <f t="shared" si="6"/>
        <v>23.5</v>
      </c>
      <c r="L35" s="107">
        <f t="shared" si="6"/>
        <v>24.5</v>
      </c>
      <c r="M35" s="107">
        <f t="shared" si="6"/>
        <v>48.499999999999993</v>
      </c>
      <c r="N35" s="107">
        <f t="shared" si="6"/>
        <v>62</v>
      </c>
      <c r="O35" s="107">
        <f t="shared" si="6"/>
        <v>49.5</v>
      </c>
      <c r="P35" s="107">
        <f t="shared" si="6"/>
        <v>45</v>
      </c>
      <c r="Q35" s="107">
        <f t="shared" si="6"/>
        <v>0</v>
      </c>
      <c r="R35" s="107">
        <f t="shared" si="6"/>
        <v>0</v>
      </c>
      <c r="T35" s="74"/>
    </row>
    <row r="36" spans="2:20" x14ac:dyDescent="0.25">
      <c r="B36" s="76"/>
      <c r="C36" s="3" t="str">
        <f t="shared" si="5"/>
        <v>工厂1 FTL运输的数量百分比</v>
      </c>
      <c r="D36" s="139">
        <v>0.6</v>
      </c>
      <c r="E36" s="139">
        <v>0.6</v>
      </c>
      <c r="F36" s="139">
        <v>0.6</v>
      </c>
      <c r="G36" s="139">
        <v>0.6</v>
      </c>
      <c r="H36" s="139">
        <v>0.6</v>
      </c>
      <c r="I36" s="139">
        <v>0.6</v>
      </c>
      <c r="J36" s="139">
        <v>0.6</v>
      </c>
      <c r="K36" s="139">
        <v>0.6</v>
      </c>
      <c r="L36" s="139">
        <v>0.6</v>
      </c>
      <c r="M36" s="139">
        <v>0.6</v>
      </c>
      <c r="N36" s="139">
        <v>0.6</v>
      </c>
      <c r="O36" s="139">
        <v>0.6</v>
      </c>
      <c r="P36" s="139">
        <v>0.6</v>
      </c>
      <c r="Q36" s="139">
        <v>0.6</v>
      </c>
      <c r="R36" s="139">
        <v>0.6</v>
      </c>
      <c r="T36" s="74"/>
    </row>
    <row r="37" spans="2:20" x14ac:dyDescent="0.25">
      <c r="B37" s="76"/>
      <c r="C37" s="3" t="str">
        <f t="shared" si="5"/>
        <v>工厂1的平均单位成本</v>
      </c>
      <c r="D37" s="107">
        <f>表1!D75</f>
        <v>15</v>
      </c>
      <c r="E37" s="107">
        <f>表1!E75</f>
        <v>15.5</v>
      </c>
      <c r="F37" s="107">
        <f>表1!F75</f>
        <v>19</v>
      </c>
      <c r="G37" s="107">
        <f>表1!G75</f>
        <v>20</v>
      </c>
      <c r="H37" s="107">
        <f>表1!H75</f>
        <v>20</v>
      </c>
      <c r="I37" s="107">
        <f>表1!I75</f>
        <v>0</v>
      </c>
      <c r="J37" s="107">
        <f>表1!J75</f>
        <v>20</v>
      </c>
      <c r="K37" s="107">
        <f>表1!K75</f>
        <v>19</v>
      </c>
      <c r="L37" s="107">
        <f>表1!L75</f>
        <v>20</v>
      </c>
      <c r="M37" s="107">
        <f>表1!M75</f>
        <v>35</v>
      </c>
      <c r="N37" s="107">
        <f>表1!N75</f>
        <v>35</v>
      </c>
      <c r="O37" s="107">
        <f>表1!O75</f>
        <v>30</v>
      </c>
      <c r="P37" s="107">
        <f>表1!P75</f>
        <v>30</v>
      </c>
      <c r="Q37" s="107">
        <f>表1!Q75</f>
        <v>0</v>
      </c>
      <c r="R37" s="107">
        <f>表1!R75</f>
        <v>0</v>
      </c>
      <c r="T37" s="74"/>
    </row>
    <row r="38" spans="2:20" x14ac:dyDescent="0.25">
      <c r="B38" s="76"/>
      <c r="C38" s="3" t="str">
        <f t="shared" si="5"/>
        <v>FTL，工厂2的单位成本</v>
      </c>
      <c r="D38" s="111">
        <v>0</v>
      </c>
      <c r="E38" s="111">
        <v>0</v>
      </c>
      <c r="F38" s="111">
        <v>0</v>
      </c>
      <c r="G38" s="111">
        <v>0</v>
      </c>
      <c r="H38" s="111">
        <v>17</v>
      </c>
      <c r="I38" s="111">
        <v>17</v>
      </c>
      <c r="J38" s="111">
        <v>17</v>
      </c>
      <c r="K38" s="111">
        <v>0</v>
      </c>
      <c r="L38" s="111">
        <v>0</v>
      </c>
      <c r="M38" s="111">
        <v>17</v>
      </c>
      <c r="N38" s="111">
        <v>0</v>
      </c>
      <c r="O38" s="111">
        <v>0</v>
      </c>
      <c r="P38" s="111">
        <v>17</v>
      </c>
      <c r="Q38" s="111">
        <v>40</v>
      </c>
      <c r="R38" s="111">
        <v>40</v>
      </c>
      <c r="T38" s="74"/>
    </row>
    <row r="39" spans="2:20" x14ac:dyDescent="0.25">
      <c r="B39" s="76"/>
      <c r="C39" s="3" t="str">
        <f t="shared" si="5"/>
        <v>LTL，工厂2的单位成本</v>
      </c>
      <c r="D39" s="107">
        <f t="shared" ref="D39:R39" si="7">(D41-D40*D38)/(1-D40)</f>
        <v>0</v>
      </c>
      <c r="E39" s="107">
        <f t="shared" si="7"/>
        <v>0</v>
      </c>
      <c r="F39" s="107">
        <f t="shared" si="7"/>
        <v>0</v>
      </c>
      <c r="G39" s="107">
        <f t="shared" si="7"/>
        <v>0</v>
      </c>
      <c r="H39" s="107">
        <f t="shared" si="7"/>
        <v>24.5</v>
      </c>
      <c r="I39" s="107">
        <f t="shared" si="7"/>
        <v>24.5</v>
      </c>
      <c r="J39" s="107">
        <f t="shared" si="7"/>
        <v>24.5</v>
      </c>
      <c r="K39" s="107">
        <f t="shared" si="7"/>
        <v>0</v>
      </c>
      <c r="L39" s="107">
        <f t="shared" si="7"/>
        <v>0</v>
      </c>
      <c r="M39" s="107">
        <f t="shared" si="7"/>
        <v>86.999999999999986</v>
      </c>
      <c r="N39" s="107">
        <f t="shared" si="7"/>
        <v>0</v>
      </c>
      <c r="O39" s="107">
        <f t="shared" si="7"/>
        <v>0</v>
      </c>
      <c r="P39" s="107">
        <f t="shared" si="7"/>
        <v>62</v>
      </c>
      <c r="Q39" s="107">
        <f t="shared" si="7"/>
        <v>65</v>
      </c>
      <c r="R39" s="107">
        <f t="shared" si="7"/>
        <v>65</v>
      </c>
      <c r="T39" s="74"/>
    </row>
    <row r="40" spans="2:20" x14ac:dyDescent="0.25">
      <c r="B40" s="76"/>
      <c r="C40" s="3" t="str">
        <f t="shared" si="5"/>
        <v>工厂2 FTL运输的数量百分比</v>
      </c>
      <c r="D40" s="139">
        <v>0</v>
      </c>
      <c r="E40" s="139">
        <v>0</v>
      </c>
      <c r="F40" s="139">
        <v>0</v>
      </c>
      <c r="G40" s="139">
        <v>0</v>
      </c>
      <c r="H40" s="139">
        <v>0.6</v>
      </c>
      <c r="I40" s="139">
        <v>0.6</v>
      </c>
      <c r="J40" s="139">
        <v>0.6</v>
      </c>
      <c r="K40" s="139">
        <v>0</v>
      </c>
      <c r="L40" s="139">
        <v>0</v>
      </c>
      <c r="M40" s="139">
        <v>0.6</v>
      </c>
      <c r="N40" s="139">
        <v>0</v>
      </c>
      <c r="O40" s="139">
        <v>0</v>
      </c>
      <c r="P40" s="139">
        <v>0.6</v>
      </c>
      <c r="Q40" s="139">
        <v>0.6</v>
      </c>
      <c r="R40" s="139">
        <v>0.6</v>
      </c>
      <c r="T40" s="74"/>
    </row>
    <row r="41" spans="2:20" x14ac:dyDescent="0.25">
      <c r="B41" s="76"/>
      <c r="C41" s="65" t="str">
        <f t="shared" si="5"/>
        <v>工厂2的平均单位成本</v>
      </c>
      <c r="D41" s="44">
        <f>表1!D76</f>
        <v>0</v>
      </c>
      <c r="E41" s="44">
        <f>表1!E76</f>
        <v>0</v>
      </c>
      <c r="F41" s="44">
        <f>表1!F76</f>
        <v>0</v>
      </c>
      <c r="G41" s="44">
        <f>表1!G76</f>
        <v>0</v>
      </c>
      <c r="H41" s="44">
        <f>表1!H76</f>
        <v>20</v>
      </c>
      <c r="I41" s="44">
        <f>表1!I76</f>
        <v>20</v>
      </c>
      <c r="J41" s="44">
        <f>表1!J76</f>
        <v>20</v>
      </c>
      <c r="K41" s="44">
        <f>表1!K76</f>
        <v>0</v>
      </c>
      <c r="L41" s="44">
        <f>表1!L76</f>
        <v>0</v>
      </c>
      <c r="M41" s="44">
        <f>表1!M76</f>
        <v>45</v>
      </c>
      <c r="N41" s="44">
        <f>表1!N76</f>
        <v>0</v>
      </c>
      <c r="O41" s="44">
        <f>表1!O76</f>
        <v>0</v>
      </c>
      <c r="P41" s="44">
        <f>表1!P76</f>
        <v>35</v>
      </c>
      <c r="Q41" s="44">
        <f>表1!Q76</f>
        <v>50</v>
      </c>
      <c r="R41" s="44">
        <f>表1!R76</f>
        <v>50</v>
      </c>
      <c r="T41" s="74"/>
    </row>
    <row r="42" spans="2:20" x14ac:dyDescent="0.25">
      <c r="B42" s="76"/>
      <c r="C42" s="177" t="s">
        <v>270</v>
      </c>
      <c r="D42" s="1"/>
      <c r="E42" s="1"/>
      <c r="F42" s="1"/>
      <c r="G42" s="1"/>
      <c r="H42" s="1"/>
      <c r="I42" s="1"/>
      <c r="J42" s="1"/>
      <c r="K42" s="1"/>
      <c r="L42" s="1"/>
      <c r="M42" s="1"/>
      <c r="N42" s="1"/>
      <c r="O42" s="1"/>
      <c r="P42" s="1"/>
      <c r="Q42" s="1"/>
      <c r="R42" s="1"/>
      <c r="T42" s="74"/>
    </row>
    <row r="43" spans="2:20" x14ac:dyDescent="0.25">
      <c r="B43" s="76"/>
      <c r="C43" s="3" t="str">
        <f>C28</f>
        <v>工厂1的平均单位成本</v>
      </c>
      <c r="D43" s="140">
        <f t="shared" ref="D43:R43" si="8">D27*D34+(1-D27)*D35</f>
        <v>15.999999999999998</v>
      </c>
      <c r="E43" s="140">
        <f t="shared" si="8"/>
        <v>15.5</v>
      </c>
      <c r="F43" s="140">
        <f t="shared" si="8"/>
        <v>19</v>
      </c>
      <c r="G43" s="140">
        <f t="shared" si="8"/>
        <v>20</v>
      </c>
      <c r="H43" s="140">
        <f t="shared" si="8"/>
        <v>19</v>
      </c>
      <c r="I43" s="140">
        <f t="shared" si="8"/>
        <v>0</v>
      </c>
      <c r="J43" s="140">
        <f t="shared" si="8"/>
        <v>20</v>
      </c>
      <c r="K43" s="140">
        <f t="shared" si="8"/>
        <v>19</v>
      </c>
      <c r="L43" s="140">
        <f t="shared" si="8"/>
        <v>20</v>
      </c>
      <c r="M43" s="140">
        <f t="shared" si="8"/>
        <v>33</v>
      </c>
      <c r="N43" s="140">
        <f t="shared" si="8"/>
        <v>35.900000000000006</v>
      </c>
      <c r="O43" s="140">
        <f t="shared" si="8"/>
        <v>32.274999999999999</v>
      </c>
      <c r="P43" s="140">
        <f t="shared" si="8"/>
        <v>30</v>
      </c>
      <c r="Q43" s="140">
        <f t="shared" si="8"/>
        <v>0</v>
      </c>
      <c r="R43" s="140">
        <f t="shared" si="8"/>
        <v>0</v>
      </c>
      <c r="T43" s="74"/>
    </row>
    <row r="44" spans="2:20" x14ac:dyDescent="0.25">
      <c r="B44" s="76"/>
      <c r="C44" s="3" t="str">
        <f>C32</f>
        <v>工厂2的平均单位成本</v>
      </c>
      <c r="D44" s="140">
        <f t="shared" ref="D44:R44" si="9">D31*D38+(1-D31)*D39</f>
        <v>0</v>
      </c>
      <c r="E44" s="140">
        <f t="shared" si="9"/>
        <v>0</v>
      </c>
      <c r="F44" s="140">
        <f t="shared" si="9"/>
        <v>0</v>
      </c>
      <c r="G44" s="140">
        <f t="shared" si="9"/>
        <v>0</v>
      </c>
      <c r="H44" s="140">
        <f t="shared" si="9"/>
        <v>20</v>
      </c>
      <c r="I44" s="140">
        <f t="shared" si="9"/>
        <v>20.75</v>
      </c>
      <c r="J44" s="140">
        <f t="shared" si="9"/>
        <v>20</v>
      </c>
      <c r="K44" s="140">
        <f t="shared" si="9"/>
        <v>0</v>
      </c>
      <c r="L44" s="140">
        <f t="shared" si="9"/>
        <v>0</v>
      </c>
      <c r="M44" s="140">
        <f t="shared" si="9"/>
        <v>45</v>
      </c>
      <c r="N44" s="140">
        <f t="shared" si="9"/>
        <v>0</v>
      </c>
      <c r="O44" s="140">
        <f t="shared" si="9"/>
        <v>0</v>
      </c>
      <c r="P44" s="140">
        <f t="shared" si="9"/>
        <v>35</v>
      </c>
      <c r="Q44" s="140">
        <f t="shared" si="9"/>
        <v>50.5</v>
      </c>
      <c r="R44" s="140">
        <f t="shared" si="9"/>
        <v>49.5</v>
      </c>
      <c r="T44" s="74"/>
    </row>
    <row r="45" spans="2:20" x14ac:dyDescent="0.25">
      <c r="B45" s="76"/>
      <c r="C45" t="s">
        <v>247</v>
      </c>
      <c r="D45" s="5">
        <f>表1!D13</f>
        <v>500</v>
      </c>
      <c r="E45" s="5">
        <f>表1!E13</f>
        <v>2.1E-7</v>
      </c>
      <c r="F45" s="5">
        <f>表1!F13</f>
        <v>1.1000000000000001E-7</v>
      </c>
      <c r="G45" s="5">
        <f>表1!G13</f>
        <v>360</v>
      </c>
      <c r="H45" s="5">
        <f>表1!H13</f>
        <v>200</v>
      </c>
      <c r="I45" s="5">
        <f>表1!I13</f>
        <v>0</v>
      </c>
      <c r="J45" s="5">
        <f>表1!J13</f>
        <v>1000</v>
      </c>
      <c r="K45" s="5">
        <f>表1!K13</f>
        <v>600</v>
      </c>
      <c r="L45" s="5">
        <f>表1!L13</f>
        <v>100</v>
      </c>
      <c r="M45" s="5">
        <f>表1!M13</f>
        <v>1200</v>
      </c>
      <c r="N45" s="5">
        <f>表1!N13</f>
        <v>650</v>
      </c>
      <c r="O45" s="5">
        <f>表1!O13</f>
        <v>650</v>
      </c>
      <c r="P45" s="5">
        <f>表1!P13</f>
        <v>300</v>
      </c>
      <c r="Q45" s="5">
        <f>表1!Q13</f>
        <v>0</v>
      </c>
      <c r="R45" s="5">
        <f>表1!R13</f>
        <v>0</v>
      </c>
      <c r="T45" s="74"/>
    </row>
    <row r="46" spans="2:20" x14ac:dyDescent="0.25">
      <c r="B46" s="76"/>
      <c r="C46" t="s">
        <v>249</v>
      </c>
      <c r="D46" s="5">
        <f>表1!D14</f>
        <v>0</v>
      </c>
      <c r="E46" s="5">
        <f>表1!E14</f>
        <v>0</v>
      </c>
      <c r="F46" s="5">
        <f>表1!F14</f>
        <v>0</v>
      </c>
      <c r="G46" s="5">
        <f>表1!G14</f>
        <v>0</v>
      </c>
      <c r="H46" s="5">
        <f>表1!H14</f>
        <v>600</v>
      </c>
      <c r="I46" s="5">
        <f>表1!I14</f>
        <v>200</v>
      </c>
      <c r="J46" s="5">
        <f>表1!J14</f>
        <v>400</v>
      </c>
      <c r="K46" s="5">
        <f>表1!K14</f>
        <v>0</v>
      </c>
      <c r="L46" s="5">
        <f>表1!L14</f>
        <v>0</v>
      </c>
      <c r="M46" s="5">
        <f>表1!M14</f>
        <v>400</v>
      </c>
      <c r="N46" s="5">
        <f>表1!N14</f>
        <v>0</v>
      </c>
      <c r="O46" s="5">
        <f>表1!O14</f>
        <v>0</v>
      </c>
      <c r="P46" s="5">
        <f>表1!P14</f>
        <v>100</v>
      </c>
      <c r="Q46" s="5">
        <f>表1!Q14</f>
        <v>1500</v>
      </c>
      <c r="R46" s="5">
        <f>表1!R14</f>
        <v>800</v>
      </c>
      <c r="T46" s="74"/>
    </row>
    <row r="47" spans="2:20" x14ac:dyDescent="0.25">
      <c r="B47" s="76"/>
      <c r="C47" s="152" t="s">
        <v>248</v>
      </c>
      <c r="D47" s="157">
        <f>(D43-D37)*D45+(D44-D41)*D46</f>
        <v>499.99999999999909</v>
      </c>
      <c r="E47" s="157">
        <f t="shared" ref="E47" si="10">(E43-E37)*E45+(E44-E41)*E46</f>
        <v>0</v>
      </c>
      <c r="F47" s="157">
        <f t="shared" ref="F47" si="11">(F43-F37)*F45+(F44-F41)*F46</f>
        <v>0</v>
      </c>
      <c r="G47" s="157">
        <f t="shared" ref="G47" si="12">(G43-G37)*G45+(G44-G41)*G46</f>
        <v>0</v>
      </c>
      <c r="H47" s="157">
        <f t="shared" ref="H47" si="13">(H43-H37)*H45+(H44-H41)*H46</f>
        <v>-200</v>
      </c>
      <c r="I47" s="157">
        <f t="shared" ref="I47" si="14">(I43-I37)*I45+(I44-I41)*I46</f>
        <v>150</v>
      </c>
      <c r="J47" s="157">
        <f t="shared" ref="J47" si="15">(J43-J37)*J45+(J44-J41)*J46</f>
        <v>0</v>
      </c>
      <c r="K47" s="157">
        <f t="shared" ref="K47" si="16">(K43-K37)*K45+(K44-K41)*K46</f>
        <v>0</v>
      </c>
      <c r="L47" s="157">
        <f t="shared" ref="L47" si="17">(L43-L37)*L45+(L44-L41)*L46</f>
        <v>0</v>
      </c>
      <c r="M47" s="157">
        <f t="shared" ref="M47" si="18">(M43-M37)*M45+(M44-M41)*M46</f>
        <v>-2400</v>
      </c>
      <c r="N47" s="157">
        <f t="shared" ref="N47" si="19">(N43-N37)*N45+(N44-N41)*N46</f>
        <v>585.00000000000364</v>
      </c>
      <c r="O47" s="157">
        <f t="shared" ref="O47" si="20">(O43-O37)*O45+(O44-O41)*O46</f>
        <v>1478.7499999999991</v>
      </c>
      <c r="P47" s="157">
        <f t="shared" ref="P47" si="21">(P43-P37)*P45+(P44-P41)*P46</f>
        <v>0</v>
      </c>
      <c r="Q47" s="157">
        <f t="shared" ref="Q47" si="22">(Q43-Q37)*Q45+(Q44-Q41)*Q46</f>
        <v>750</v>
      </c>
      <c r="R47" s="157">
        <f t="shared" ref="R47" si="23">(R43-R37)*R45+(R44-R41)*R46</f>
        <v>-400</v>
      </c>
      <c r="S47" s="154">
        <f>SUM(D47:R47)</f>
        <v>463.75000000000182</v>
      </c>
      <c r="T47" s="74"/>
    </row>
    <row r="48" spans="2:20" x14ac:dyDescent="0.25">
      <c r="B48" s="76"/>
      <c r="C48" s="158" t="s">
        <v>234</v>
      </c>
      <c r="D48" s="9">
        <f>(D28-D43)*D45+(D32-D44)*D46</f>
        <v>8.8817841970012523E-13</v>
      </c>
      <c r="E48" s="9">
        <f t="shared" ref="E48:R48" si="24">(E28-E43)*E45+(E32-E44)*E46</f>
        <v>0</v>
      </c>
      <c r="F48" s="9">
        <f t="shared" si="24"/>
        <v>0</v>
      </c>
      <c r="G48" s="9">
        <f t="shared" si="24"/>
        <v>360</v>
      </c>
      <c r="H48" s="9">
        <f t="shared" si="24"/>
        <v>0</v>
      </c>
      <c r="I48" s="9">
        <f t="shared" si="24"/>
        <v>-150</v>
      </c>
      <c r="J48" s="9">
        <f t="shared" si="24"/>
        <v>0</v>
      </c>
      <c r="K48" s="9">
        <f t="shared" si="24"/>
        <v>0</v>
      </c>
      <c r="L48" s="9">
        <f t="shared" si="24"/>
        <v>0</v>
      </c>
      <c r="M48" s="9">
        <f t="shared" si="24"/>
        <v>400</v>
      </c>
      <c r="N48" s="9">
        <f t="shared" si="24"/>
        <v>64.999999999996305</v>
      </c>
      <c r="O48" s="9">
        <f t="shared" si="24"/>
        <v>-178.74999999999909</v>
      </c>
      <c r="P48" s="9">
        <f t="shared" si="24"/>
        <v>200</v>
      </c>
      <c r="Q48" s="9">
        <f t="shared" si="24"/>
        <v>2250</v>
      </c>
      <c r="R48" s="9">
        <f t="shared" si="24"/>
        <v>2800</v>
      </c>
      <c r="S48" s="155">
        <f>SUM(D48:R48)</f>
        <v>5746.2499999999982</v>
      </c>
      <c r="T48" s="74"/>
    </row>
    <row r="49" spans="2:22" x14ac:dyDescent="0.25">
      <c r="B49" s="76"/>
      <c r="C49" s="159" t="s">
        <v>224</v>
      </c>
      <c r="D49" s="15">
        <f t="shared" ref="D49:R49" si="25">SUM(D47:D48)</f>
        <v>500</v>
      </c>
      <c r="E49" s="15">
        <f t="shared" si="25"/>
        <v>0</v>
      </c>
      <c r="F49" s="15">
        <f t="shared" si="25"/>
        <v>0</v>
      </c>
      <c r="G49" s="15">
        <f t="shared" si="25"/>
        <v>360</v>
      </c>
      <c r="H49" s="15">
        <f t="shared" si="25"/>
        <v>-200</v>
      </c>
      <c r="I49" s="15">
        <f t="shared" si="25"/>
        <v>0</v>
      </c>
      <c r="J49" s="15">
        <f t="shared" si="25"/>
        <v>0</v>
      </c>
      <c r="K49" s="15">
        <f t="shared" si="25"/>
        <v>0</v>
      </c>
      <c r="L49" s="15">
        <f t="shared" si="25"/>
        <v>0</v>
      </c>
      <c r="M49" s="15">
        <f t="shared" si="25"/>
        <v>-2000</v>
      </c>
      <c r="N49" s="15">
        <f t="shared" si="25"/>
        <v>650</v>
      </c>
      <c r="O49" s="15">
        <f t="shared" si="25"/>
        <v>1300</v>
      </c>
      <c r="P49" s="15">
        <f t="shared" si="25"/>
        <v>200</v>
      </c>
      <c r="Q49" s="15">
        <f t="shared" si="25"/>
        <v>3000</v>
      </c>
      <c r="R49" s="15">
        <f t="shared" si="25"/>
        <v>2400</v>
      </c>
      <c r="S49" s="156">
        <f>SUM(D49:R49)</f>
        <v>6210</v>
      </c>
      <c r="T49" s="74"/>
      <c r="V49" s="51">
        <f>SUM(S47:S48)</f>
        <v>6210</v>
      </c>
    </row>
    <row r="50" spans="2:22" x14ac:dyDescent="0.25">
      <c r="B50" s="76"/>
      <c r="D50" s="51">
        <f>表1!D156</f>
        <v>500</v>
      </c>
      <c r="E50" s="51">
        <f>表1!E156</f>
        <v>0</v>
      </c>
      <c r="F50" s="51">
        <f>表1!F156</f>
        <v>0</v>
      </c>
      <c r="G50" s="51">
        <f>表1!G156</f>
        <v>360</v>
      </c>
      <c r="H50" s="51">
        <f>表1!H156</f>
        <v>-200</v>
      </c>
      <c r="I50" s="51">
        <f>表1!I156</f>
        <v>0</v>
      </c>
      <c r="J50" s="51">
        <f>表1!J156</f>
        <v>0</v>
      </c>
      <c r="K50" s="51">
        <f>表1!K156</f>
        <v>0</v>
      </c>
      <c r="L50" s="51">
        <f>表1!L156</f>
        <v>0</v>
      </c>
      <c r="M50" s="51">
        <f>表1!M156</f>
        <v>-2000</v>
      </c>
      <c r="N50" s="51">
        <f>表1!N156</f>
        <v>650</v>
      </c>
      <c r="O50" s="51">
        <f>表1!O156</f>
        <v>1300</v>
      </c>
      <c r="P50" s="51">
        <f>表1!P156</f>
        <v>200</v>
      </c>
      <c r="Q50" s="51">
        <f>表1!Q156</f>
        <v>3000</v>
      </c>
      <c r="R50" s="51">
        <f>表1!R156</f>
        <v>2400</v>
      </c>
      <c r="T50" s="74"/>
      <c r="V50" s="51">
        <f>表1!S156</f>
        <v>6210</v>
      </c>
    </row>
    <row r="51" spans="2:22" hidden="1" x14ac:dyDescent="0.25">
      <c r="B51" s="76"/>
      <c r="D51" s="141">
        <f t="shared" ref="D51:R51" si="26">D27*D25+(1-D27)*D26</f>
        <v>16</v>
      </c>
      <c r="E51" s="141">
        <f t="shared" si="26"/>
        <v>15.5</v>
      </c>
      <c r="F51" s="141">
        <f t="shared" si="26"/>
        <v>19</v>
      </c>
      <c r="G51" s="141">
        <f t="shared" si="26"/>
        <v>21</v>
      </c>
      <c r="H51" s="141">
        <f t="shared" si="26"/>
        <v>19</v>
      </c>
      <c r="I51" s="141">
        <f t="shared" si="26"/>
        <v>0</v>
      </c>
      <c r="J51" s="141">
        <f t="shared" si="26"/>
        <v>20</v>
      </c>
      <c r="K51" s="141">
        <f t="shared" si="26"/>
        <v>19</v>
      </c>
      <c r="L51" s="141">
        <f t="shared" si="26"/>
        <v>20</v>
      </c>
      <c r="M51" s="141">
        <f t="shared" si="26"/>
        <v>33</v>
      </c>
      <c r="N51" s="141">
        <f t="shared" si="26"/>
        <v>36</v>
      </c>
      <c r="O51" s="141">
        <f t="shared" si="26"/>
        <v>32</v>
      </c>
      <c r="P51" s="141">
        <f t="shared" si="26"/>
        <v>30</v>
      </c>
      <c r="Q51" s="141">
        <f t="shared" si="26"/>
        <v>0</v>
      </c>
      <c r="R51" s="141">
        <f t="shared" si="26"/>
        <v>0</v>
      </c>
      <c r="T51" s="74"/>
    </row>
    <row r="52" spans="2:22" hidden="1" x14ac:dyDescent="0.25">
      <c r="B52" s="76"/>
      <c r="D52" s="141">
        <f t="shared" ref="D52:R52" si="27">D31*D29+(1-D31)*D30</f>
        <v>0</v>
      </c>
      <c r="E52" s="141">
        <f t="shared" si="27"/>
        <v>0</v>
      </c>
      <c r="F52" s="141">
        <f t="shared" si="27"/>
        <v>0</v>
      </c>
      <c r="G52" s="141">
        <f t="shared" si="27"/>
        <v>0</v>
      </c>
      <c r="H52" s="141">
        <f t="shared" si="27"/>
        <v>20</v>
      </c>
      <c r="I52" s="141">
        <f t="shared" si="27"/>
        <v>20</v>
      </c>
      <c r="J52" s="141">
        <f t="shared" si="27"/>
        <v>20</v>
      </c>
      <c r="K52" s="141">
        <f t="shared" si="27"/>
        <v>0</v>
      </c>
      <c r="L52" s="141">
        <f t="shared" si="27"/>
        <v>0</v>
      </c>
      <c r="M52" s="141">
        <f t="shared" si="27"/>
        <v>46</v>
      </c>
      <c r="N52" s="141">
        <f t="shared" si="27"/>
        <v>0</v>
      </c>
      <c r="O52" s="141">
        <f t="shared" si="27"/>
        <v>0</v>
      </c>
      <c r="P52" s="141">
        <f t="shared" si="27"/>
        <v>37</v>
      </c>
      <c r="Q52" s="141">
        <f t="shared" si="27"/>
        <v>52</v>
      </c>
      <c r="R52" s="141">
        <f t="shared" si="27"/>
        <v>53</v>
      </c>
      <c r="T52" s="74"/>
    </row>
    <row r="53" spans="2:22" hidden="1" x14ac:dyDescent="0.25">
      <c r="B53" s="76"/>
      <c r="D53" s="141">
        <f t="shared" ref="D53:R53" si="28">D36*D34+(1-D36)*D35</f>
        <v>15</v>
      </c>
      <c r="E53" s="141">
        <f t="shared" si="28"/>
        <v>15.5</v>
      </c>
      <c r="F53" s="141">
        <f t="shared" si="28"/>
        <v>19</v>
      </c>
      <c r="G53" s="141">
        <f t="shared" si="28"/>
        <v>20</v>
      </c>
      <c r="H53" s="141">
        <f t="shared" si="28"/>
        <v>20</v>
      </c>
      <c r="I53" s="141">
        <f t="shared" si="28"/>
        <v>0</v>
      </c>
      <c r="J53" s="141">
        <f t="shared" si="28"/>
        <v>20</v>
      </c>
      <c r="K53" s="141">
        <f t="shared" si="28"/>
        <v>19</v>
      </c>
      <c r="L53" s="141">
        <f t="shared" si="28"/>
        <v>20</v>
      </c>
      <c r="M53" s="141">
        <f t="shared" si="28"/>
        <v>35</v>
      </c>
      <c r="N53" s="141">
        <f t="shared" si="28"/>
        <v>35</v>
      </c>
      <c r="O53" s="141">
        <f t="shared" si="28"/>
        <v>30</v>
      </c>
      <c r="P53" s="141">
        <f t="shared" si="28"/>
        <v>30</v>
      </c>
      <c r="Q53" s="141">
        <f t="shared" si="28"/>
        <v>0</v>
      </c>
      <c r="R53" s="141">
        <f t="shared" si="28"/>
        <v>0</v>
      </c>
      <c r="T53" s="74"/>
    </row>
    <row r="54" spans="2:22" hidden="1" x14ac:dyDescent="0.25">
      <c r="B54" s="76"/>
      <c r="D54" s="141">
        <f t="shared" ref="D54:R54" si="29">D40*D38+(1-D40)*D39</f>
        <v>0</v>
      </c>
      <c r="E54" s="141">
        <f t="shared" si="29"/>
        <v>0</v>
      </c>
      <c r="F54" s="141">
        <f t="shared" si="29"/>
        <v>0</v>
      </c>
      <c r="G54" s="141">
        <f t="shared" si="29"/>
        <v>0</v>
      </c>
      <c r="H54" s="141">
        <f t="shared" si="29"/>
        <v>20</v>
      </c>
      <c r="I54" s="141">
        <f t="shared" si="29"/>
        <v>20</v>
      </c>
      <c r="J54" s="141">
        <f t="shared" si="29"/>
        <v>20</v>
      </c>
      <c r="K54" s="141">
        <f t="shared" si="29"/>
        <v>0</v>
      </c>
      <c r="L54" s="141">
        <f t="shared" si="29"/>
        <v>0</v>
      </c>
      <c r="M54" s="141">
        <f t="shared" si="29"/>
        <v>45</v>
      </c>
      <c r="N54" s="141">
        <f t="shared" si="29"/>
        <v>0</v>
      </c>
      <c r="O54" s="141">
        <f t="shared" si="29"/>
        <v>0</v>
      </c>
      <c r="P54" s="141">
        <f t="shared" si="29"/>
        <v>35</v>
      </c>
      <c r="Q54" s="141">
        <f t="shared" si="29"/>
        <v>50</v>
      </c>
      <c r="R54" s="141">
        <f t="shared" si="29"/>
        <v>50</v>
      </c>
      <c r="T54" s="74"/>
    </row>
    <row r="55" spans="2:22" x14ac:dyDescent="0.25">
      <c r="B55" s="76"/>
      <c r="C55" s="59" t="s">
        <v>250</v>
      </c>
      <c r="T55" s="74"/>
    </row>
    <row r="56" spans="2:22" x14ac:dyDescent="0.25">
      <c r="B56" s="76"/>
      <c r="C56" s="2" t="s">
        <v>237</v>
      </c>
      <c r="D56" s="1"/>
      <c r="E56" s="1"/>
      <c r="F56" s="1"/>
      <c r="G56" s="1"/>
      <c r="H56" s="1"/>
      <c r="I56" s="1"/>
      <c r="T56" s="74"/>
    </row>
    <row r="57" spans="2:22" x14ac:dyDescent="0.25">
      <c r="B57" s="76"/>
      <c r="C57" t="s">
        <v>251</v>
      </c>
      <c r="D57" s="38">
        <f>D27*表1!D13</f>
        <v>100</v>
      </c>
      <c r="E57" s="138">
        <f>E27*表1!E13</f>
        <v>1.2599999999999999E-7</v>
      </c>
      <c r="F57" s="138">
        <f>F27*表1!F13</f>
        <v>6.5999999999999995E-8</v>
      </c>
      <c r="G57" s="138">
        <f>G27*表1!G13</f>
        <v>216</v>
      </c>
      <c r="H57" s="138">
        <f>H27*表1!H13</f>
        <v>146.66666666666671</v>
      </c>
      <c r="I57" s="38">
        <f>I27*表1!I13</f>
        <v>0</v>
      </c>
      <c r="J57" s="38">
        <f>J27*表1!J13</f>
        <v>600</v>
      </c>
      <c r="K57" s="38">
        <f>K27*表1!K13</f>
        <v>360</v>
      </c>
      <c r="L57" s="38">
        <f>L27*表1!L13</f>
        <v>60</v>
      </c>
      <c r="M57" s="138">
        <f>M27*表1!M13</f>
        <v>826.6666666666664</v>
      </c>
      <c r="N57" s="38">
        <f>N27*表1!N13</f>
        <v>377</v>
      </c>
      <c r="O57" s="138">
        <f>O27*表1!O13</f>
        <v>344.5</v>
      </c>
      <c r="P57" s="38">
        <f>P27*表1!P13</f>
        <v>180</v>
      </c>
      <c r="Q57" s="38">
        <f>Q27*表1!Q13</f>
        <v>0</v>
      </c>
      <c r="R57" s="38">
        <f>R27*表1!R13</f>
        <v>0</v>
      </c>
      <c r="S57" s="5">
        <f>SUM(D57:R57)</f>
        <v>3210.8333335253333</v>
      </c>
      <c r="T57" s="74"/>
      <c r="V57" s="5">
        <f>S57+S58</f>
        <v>5560.0000003200003</v>
      </c>
    </row>
    <row r="58" spans="2:22" x14ac:dyDescent="0.25">
      <c r="B58" s="76"/>
      <c r="C58" t="s">
        <v>252</v>
      </c>
      <c r="D58" s="38">
        <f>(1-D27)*表1!D13</f>
        <v>400</v>
      </c>
      <c r="E58" s="138">
        <f>(1-E27)*表1!E13</f>
        <v>8.4000000000000011E-8</v>
      </c>
      <c r="F58" s="138">
        <f>(1-F27)*表1!F13</f>
        <v>4.4000000000000004E-8</v>
      </c>
      <c r="G58" s="38">
        <f>(1-G27)*表1!G13</f>
        <v>144</v>
      </c>
      <c r="H58" s="138">
        <f>(1-H27)*表1!H13</f>
        <v>53.3333333333333</v>
      </c>
      <c r="I58" s="38">
        <f>(1-I27)*表1!I13</f>
        <v>0</v>
      </c>
      <c r="J58" s="38">
        <f>(1-J27)*表1!J13</f>
        <v>400</v>
      </c>
      <c r="K58" s="38">
        <f>(1-K27)*表1!K13</f>
        <v>240</v>
      </c>
      <c r="L58" s="38">
        <f>(1-L27)*表1!L13</f>
        <v>40</v>
      </c>
      <c r="M58" s="138">
        <f>(1-M27)*表1!M13</f>
        <v>373.3333333333336</v>
      </c>
      <c r="N58" s="38">
        <f>(1-N27)*表1!N13</f>
        <v>273</v>
      </c>
      <c r="O58" s="138">
        <f>(1-O27)*表1!O13</f>
        <v>305.5</v>
      </c>
      <c r="P58" s="38">
        <f>(1-P27)*表1!P13</f>
        <v>120</v>
      </c>
      <c r="Q58" s="38">
        <f>(1-Q27)*表1!Q13</f>
        <v>0</v>
      </c>
      <c r="R58" s="38">
        <f>(1-R27)*表1!R13</f>
        <v>0</v>
      </c>
      <c r="S58" s="5">
        <f>SUM(D58:R58)</f>
        <v>2349.166666794667</v>
      </c>
      <c r="T58" s="74"/>
      <c r="V58" s="71">
        <f>表1!S13</f>
        <v>5560.0000003200003</v>
      </c>
    </row>
    <row r="59" spans="2:22" x14ac:dyDescent="0.25">
      <c r="B59" s="76"/>
      <c r="C59" t="s">
        <v>253</v>
      </c>
      <c r="D59" s="38">
        <f>D31*表1!D14</f>
        <v>0</v>
      </c>
      <c r="E59" s="38">
        <f>E31*表1!E14</f>
        <v>0</v>
      </c>
      <c r="F59" s="38">
        <f>F31*表1!F14</f>
        <v>0</v>
      </c>
      <c r="G59" s="38">
        <f>G31*表1!G14</f>
        <v>0</v>
      </c>
      <c r="H59" s="38">
        <f>H31*表1!H14</f>
        <v>360</v>
      </c>
      <c r="I59" s="38">
        <f>I31*表1!I14</f>
        <v>100</v>
      </c>
      <c r="J59" s="38">
        <f>J31*表1!J14</f>
        <v>240</v>
      </c>
      <c r="K59" s="38">
        <f>K31*表1!K14</f>
        <v>0</v>
      </c>
      <c r="L59" s="38">
        <f>L31*表1!L14</f>
        <v>0</v>
      </c>
      <c r="M59" s="38">
        <f>M31*表1!M14</f>
        <v>240</v>
      </c>
      <c r="N59" s="38">
        <f>N31*表1!N14</f>
        <v>0</v>
      </c>
      <c r="O59" s="38">
        <f>O31*表1!O14</f>
        <v>0</v>
      </c>
      <c r="P59" s="38">
        <f>P31*表1!P14</f>
        <v>60</v>
      </c>
      <c r="Q59" s="38">
        <f>Q31*表1!Q14</f>
        <v>869.99999999999989</v>
      </c>
      <c r="R59" s="38">
        <f>R31*表1!R14</f>
        <v>496</v>
      </c>
      <c r="S59" s="5">
        <f>SUM(D59:R59)</f>
        <v>2366</v>
      </c>
      <c r="T59" s="74"/>
      <c r="V59" s="5">
        <f>S59+S60</f>
        <v>4000</v>
      </c>
    </row>
    <row r="60" spans="2:22" x14ac:dyDescent="0.25">
      <c r="B60" s="76"/>
      <c r="C60" s="43" t="s">
        <v>254</v>
      </c>
      <c r="D60" s="39">
        <f>(1-D31)*表1!D14</f>
        <v>0</v>
      </c>
      <c r="E60" s="39">
        <f>(1-E31)*表1!E14</f>
        <v>0</v>
      </c>
      <c r="F60" s="39">
        <f>(1-F31)*表1!F14</f>
        <v>0</v>
      </c>
      <c r="G60" s="39">
        <f>(1-G31)*表1!G14</f>
        <v>0</v>
      </c>
      <c r="H60" s="39">
        <f>(1-H31)*表1!H14</f>
        <v>240</v>
      </c>
      <c r="I60" s="39">
        <f>(1-I31)*表1!I14</f>
        <v>100</v>
      </c>
      <c r="J60" s="39">
        <f>(1-J31)*表1!J14</f>
        <v>160</v>
      </c>
      <c r="K60" s="39">
        <f>(1-K31)*表1!K14</f>
        <v>0</v>
      </c>
      <c r="L60" s="39">
        <f>(1-L31)*表1!L14</f>
        <v>0</v>
      </c>
      <c r="M60" s="39">
        <f>(1-M31)*表1!M14</f>
        <v>160</v>
      </c>
      <c r="N60" s="39">
        <f>(1-N31)*表1!N14</f>
        <v>0</v>
      </c>
      <c r="O60" s="39">
        <f>(1-O31)*表1!O14</f>
        <v>0</v>
      </c>
      <c r="P60" s="39">
        <f>(1-P31)*表1!P14</f>
        <v>40</v>
      </c>
      <c r="Q60" s="39">
        <f>(1-Q31)*表1!Q14</f>
        <v>630.00000000000011</v>
      </c>
      <c r="R60" s="39">
        <f>(1-R31)*表1!R14</f>
        <v>304</v>
      </c>
      <c r="S60" s="47">
        <f>SUM(D60:R60)</f>
        <v>1634</v>
      </c>
      <c r="T60" s="74"/>
      <c r="V60" s="71">
        <f>表1!S14</f>
        <v>4000</v>
      </c>
    </row>
    <row r="61" spans="2:22" x14ac:dyDescent="0.25">
      <c r="B61" s="76"/>
      <c r="C61" s="2" t="s">
        <v>246</v>
      </c>
      <c r="D61" s="1"/>
      <c r="E61" s="1"/>
      <c r="F61" s="1"/>
      <c r="G61" s="1"/>
      <c r="H61" s="1"/>
      <c r="I61" s="1"/>
      <c r="J61" s="1"/>
      <c r="K61" s="1"/>
      <c r="L61" s="1"/>
      <c r="M61" s="1"/>
      <c r="N61" s="1"/>
      <c r="O61" s="1"/>
      <c r="P61" s="1"/>
      <c r="Q61" s="1"/>
      <c r="R61" s="1"/>
      <c r="S61" s="30"/>
      <c r="T61" s="74"/>
    </row>
    <row r="62" spans="2:22" x14ac:dyDescent="0.25">
      <c r="B62" s="76"/>
      <c r="C62" t="s">
        <v>255</v>
      </c>
      <c r="D62" s="5">
        <f>表1!D70</f>
        <v>800</v>
      </c>
      <c r="E62" s="5">
        <f>表1!E70</f>
        <v>210</v>
      </c>
      <c r="F62" s="5">
        <f>表1!F70</f>
        <v>110</v>
      </c>
      <c r="G62" s="5">
        <f>表1!G70</f>
        <v>85</v>
      </c>
      <c r="H62" s="5">
        <f>表1!H70</f>
        <v>200</v>
      </c>
      <c r="I62" s="5">
        <f>表1!I70</f>
        <v>0</v>
      </c>
      <c r="J62" s="5">
        <f>表1!J70</f>
        <v>2000</v>
      </c>
      <c r="K62" s="5">
        <f>表1!K70</f>
        <v>5.9999999999999995E-8</v>
      </c>
      <c r="L62" s="5">
        <f>表1!L70</f>
        <v>1E-8</v>
      </c>
      <c r="M62" s="5">
        <f>表1!M70</f>
        <v>1200</v>
      </c>
      <c r="N62" s="5">
        <f>表1!N70</f>
        <v>400</v>
      </c>
      <c r="O62" s="5">
        <f>表1!O70</f>
        <v>400</v>
      </c>
      <c r="P62" s="5">
        <f>表1!P70</f>
        <v>400</v>
      </c>
      <c r="Q62" s="5">
        <f>表1!Q70</f>
        <v>0</v>
      </c>
      <c r="R62" s="5">
        <f>表1!R70</f>
        <v>0</v>
      </c>
      <c r="S62" s="30"/>
      <c r="T62" s="74"/>
    </row>
    <row r="63" spans="2:22" x14ac:dyDescent="0.25">
      <c r="B63" s="76"/>
      <c r="C63" t="s">
        <v>256</v>
      </c>
      <c r="D63" s="5">
        <f>表1!D71</f>
        <v>0</v>
      </c>
      <c r="E63" s="5">
        <f>表1!E71</f>
        <v>0</v>
      </c>
      <c r="F63" s="5">
        <f>表1!F71</f>
        <v>0</v>
      </c>
      <c r="G63" s="5">
        <f>表1!G71</f>
        <v>0</v>
      </c>
      <c r="H63" s="5">
        <f>表1!H71</f>
        <v>800</v>
      </c>
      <c r="I63" s="5">
        <f>表1!I71</f>
        <v>1000</v>
      </c>
      <c r="J63" s="5">
        <f>表1!J71</f>
        <v>10</v>
      </c>
      <c r="K63" s="5">
        <f>表1!K71</f>
        <v>0</v>
      </c>
      <c r="L63" s="5">
        <f>表1!L71</f>
        <v>0</v>
      </c>
      <c r="M63" s="5">
        <f>表1!M71</f>
        <v>400</v>
      </c>
      <c r="N63" s="5">
        <f>表1!N71</f>
        <v>0</v>
      </c>
      <c r="O63" s="5">
        <f>表1!O71</f>
        <v>0</v>
      </c>
      <c r="P63" s="5">
        <f>表1!P71</f>
        <v>400</v>
      </c>
      <c r="Q63" s="5">
        <f>表1!Q71</f>
        <v>300</v>
      </c>
      <c r="R63" s="5">
        <f>表1!R71</f>
        <v>300</v>
      </c>
      <c r="S63" s="30"/>
      <c r="T63" s="74"/>
    </row>
    <row r="64" spans="2:22" x14ac:dyDescent="0.25">
      <c r="B64" s="76"/>
      <c r="C64" s="3" t="str">
        <f>C57</f>
        <v xml:space="preserve"> FTL，工厂1的运输数量</v>
      </c>
      <c r="D64" s="38">
        <f>D36*D62</f>
        <v>480</v>
      </c>
      <c r="E64" s="38">
        <f t="shared" ref="E64:R64" si="30">E36*E62</f>
        <v>126</v>
      </c>
      <c r="F64" s="38">
        <f t="shared" si="30"/>
        <v>66</v>
      </c>
      <c r="G64" s="38">
        <f t="shared" si="30"/>
        <v>51</v>
      </c>
      <c r="H64" s="38">
        <f t="shared" si="30"/>
        <v>120</v>
      </c>
      <c r="I64" s="38">
        <f t="shared" si="30"/>
        <v>0</v>
      </c>
      <c r="J64" s="38">
        <f t="shared" si="30"/>
        <v>1200</v>
      </c>
      <c r="K64" s="5">
        <f t="shared" si="30"/>
        <v>3.5999999999999998E-8</v>
      </c>
      <c r="L64" s="5">
        <f t="shared" si="30"/>
        <v>6E-9</v>
      </c>
      <c r="M64" s="38">
        <f t="shared" si="30"/>
        <v>720</v>
      </c>
      <c r="N64" s="38">
        <f t="shared" si="30"/>
        <v>240</v>
      </c>
      <c r="O64" s="38">
        <f t="shared" si="30"/>
        <v>240</v>
      </c>
      <c r="P64" s="38">
        <f t="shared" si="30"/>
        <v>240</v>
      </c>
      <c r="Q64" s="38">
        <f t="shared" si="30"/>
        <v>0</v>
      </c>
      <c r="R64" s="38">
        <f t="shared" si="30"/>
        <v>0</v>
      </c>
      <c r="S64" s="5">
        <f t="shared" ref="S64:S72" si="31">SUM(D64:R64)</f>
        <v>3483.000000042</v>
      </c>
      <c r="T64" s="74"/>
      <c r="V64" s="5">
        <f>S64+S65</f>
        <v>5805.0000000700002</v>
      </c>
    </row>
    <row r="65" spans="2:22" x14ac:dyDescent="0.25">
      <c r="B65" s="76"/>
      <c r="C65" s="3" t="str">
        <f>C58</f>
        <v xml:space="preserve"> LTL，工厂1的运输数量</v>
      </c>
      <c r="D65" s="38">
        <f>(1-D36)*D62</f>
        <v>320</v>
      </c>
      <c r="E65" s="38">
        <f t="shared" ref="E65:R65" si="32">(1-E36)*E62</f>
        <v>84</v>
      </c>
      <c r="F65" s="38">
        <f t="shared" si="32"/>
        <v>44</v>
      </c>
      <c r="G65" s="38">
        <f t="shared" si="32"/>
        <v>34</v>
      </c>
      <c r="H65" s="38">
        <f t="shared" si="32"/>
        <v>80</v>
      </c>
      <c r="I65" s="38">
        <f t="shared" si="32"/>
        <v>0</v>
      </c>
      <c r="J65" s="38">
        <f t="shared" si="32"/>
        <v>800</v>
      </c>
      <c r="K65" s="5">
        <f t="shared" si="32"/>
        <v>2.4E-8</v>
      </c>
      <c r="L65" s="5">
        <f t="shared" si="32"/>
        <v>4.0000000000000002E-9</v>
      </c>
      <c r="M65" s="38">
        <f t="shared" si="32"/>
        <v>480</v>
      </c>
      <c r="N65" s="38">
        <f t="shared" si="32"/>
        <v>160</v>
      </c>
      <c r="O65" s="38">
        <f t="shared" si="32"/>
        <v>160</v>
      </c>
      <c r="P65" s="38">
        <f t="shared" si="32"/>
        <v>160</v>
      </c>
      <c r="Q65" s="38">
        <f t="shared" si="32"/>
        <v>0</v>
      </c>
      <c r="R65" s="38">
        <f t="shared" si="32"/>
        <v>0</v>
      </c>
      <c r="S65" s="5">
        <f t="shared" si="31"/>
        <v>2322.0000000279997</v>
      </c>
      <c r="T65" s="74"/>
      <c r="V65" s="71">
        <f>表1!S70</f>
        <v>5805.0000000700002</v>
      </c>
    </row>
    <row r="66" spans="2:22" x14ac:dyDescent="0.25">
      <c r="B66" s="76"/>
      <c r="C66" s="3" t="str">
        <f>C59</f>
        <v>TTL，工厂2的运输数量</v>
      </c>
      <c r="D66" s="38">
        <f>D40*D63</f>
        <v>0</v>
      </c>
      <c r="E66" s="38">
        <f t="shared" ref="E66:R66" si="33">E40*E63</f>
        <v>0</v>
      </c>
      <c r="F66" s="38">
        <f t="shared" si="33"/>
        <v>0</v>
      </c>
      <c r="G66" s="38">
        <f t="shared" si="33"/>
        <v>0</v>
      </c>
      <c r="H66" s="38">
        <f t="shared" si="33"/>
        <v>480</v>
      </c>
      <c r="I66" s="38">
        <f t="shared" si="33"/>
        <v>600</v>
      </c>
      <c r="J66" s="38">
        <f t="shared" si="33"/>
        <v>6</v>
      </c>
      <c r="K66" s="38">
        <f t="shared" si="33"/>
        <v>0</v>
      </c>
      <c r="L66" s="38">
        <f t="shared" si="33"/>
        <v>0</v>
      </c>
      <c r="M66" s="38">
        <f t="shared" si="33"/>
        <v>240</v>
      </c>
      <c r="N66" s="38">
        <f t="shared" si="33"/>
        <v>0</v>
      </c>
      <c r="O66" s="38">
        <f t="shared" si="33"/>
        <v>0</v>
      </c>
      <c r="P66" s="38">
        <f t="shared" si="33"/>
        <v>240</v>
      </c>
      <c r="Q66" s="38">
        <f t="shared" si="33"/>
        <v>180</v>
      </c>
      <c r="R66" s="38">
        <f t="shared" si="33"/>
        <v>180</v>
      </c>
      <c r="S66" s="5">
        <f t="shared" si="31"/>
        <v>1926</v>
      </c>
      <c r="T66" s="74"/>
      <c r="V66" s="5">
        <f>S66+S67</f>
        <v>3210</v>
      </c>
    </row>
    <row r="67" spans="2:22" x14ac:dyDescent="0.25">
      <c r="B67" s="76"/>
      <c r="C67" s="65" t="str">
        <f>C60</f>
        <v>LTL，工厂2的运输数量</v>
      </c>
      <c r="D67" s="39">
        <f>(1-D40)*D63</f>
        <v>0</v>
      </c>
      <c r="E67" s="39">
        <f t="shared" ref="E67:R67" si="34">(1-E40)*E63</f>
        <v>0</v>
      </c>
      <c r="F67" s="39">
        <f t="shared" si="34"/>
        <v>0</v>
      </c>
      <c r="G67" s="39">
        <f t="shared" si="34"/>
        <v>0</v>
      </c>
      <c r="H67" s="39">
        <f t="shared" si="34"/>
        <v>320</v>
      </c>
      <c r="I67" s="39">
        <f t="shared" si="34"/>
        <v>400</v>
      </c>
      <c r="J67" s="39">
        <f t="shared" si="34"/>
        <v>4</v>
      </c>
      <c r="K67" s="39">
        <f t="shared" si="34"/>
        <v>0</v>
      </c>
      <c r="L67" s="39">
        <f t="shared" si="34"/>
        <v>0</v>
      </c>
      <c r="M67" s="39">
        <f t="shared" si="34"/>
        <v>160</v>
      </c>
      <c r="N67" s="39">
        <f t="shared" si="34"/>
        <v>0</v>
      </c>
      <c r="O67" s="39">
        <f t="shared" si="34"/>
        <v>0</v>
      </c>
      <c r="P67" s="39">
        <f t="shared" si="34"/>
        <v>160</v>
      </c>
      <c r="Q67" s="39">
        <f t="shared" si="34"/>
        <v>120</v>
      </c>
      <c r="R67" s="39">
        <f t="shared" si="34"/>
        <v>120</v>
      </c>
      <c r="S67" s="47">
        <f t="shared" si="31"/>
        <v>1284</v>
      </c>
      <c r="T67" s="74"/>
      <c r="V67" s="71">
        <f>表1!S71</f>
        <v>3210</v>
      </c>
    </row>
    <row r="68" spans="2:22" x14ac:dyDescent="0.25">
      <c r="B68" s="76"/>
      <c r="C68" t="s">
        <v>257</v>
      </c>
      <c r="D68" s="9">
        <f>D34*(D57/D45-D64/D62)*D45</f>
        <v>-2800</v>
      </c>
      <c r="E68" s="9">
        <f t="shared" ref="E68:P68" si="35">E34*(E57/E45-E64/E62)*E45</f>
        <v>0</v>
      </c>
      <c r="F68" s="9">
        <f t="shared" si="35"/>
        <v>0</v>
      </c>
      <c r="G68" s="9">
        <f t="shared" si="35"/>
        <v>0</v>
      </c>
      <c r="H68" s="9">
        <f t="shared" si="35"/>
        <v>453.33333333333439</v>
      </c>
      <c r="J68" s="9">
        <f t="shared" si="35"/>
        <v>0</v>
      </c>
      <c r="K68" s="9">
        <f t="shared" si="35"/>
        <v>0</v>
      </c>
      <c r="L68" s="9">
        <f t="shared" si="35"/>
        <v>0</v>
      </c>
      <c r="M68" s="9">
        <f t="shared" si="35"/>
        <v>2773.3333333333267</v>
      </c>
      <c r="N68" s="9">
        <f t="shared" si="35"/>
        <v>-221.0000000000002</v>
      </c>
      <c r="O68" s="9">
        <f t="shared" si="35"/>
        <v>-773.49999999999943</v>
      </c>
      <c r="P68" s="9">
        <f t="shared" si="35"/>
        <v>0</v>
      </c>
      <c r="S68" s="9">
        <f t="shared" si="31"/>
        <v>-567.8333333333386</v>
      </c>
      <c r="T68" s="74"/>
    </row>
    <row r="69" spans="2:22" x14ac:dyDescent="0.25">
      <c r="B69" s="76"/>
      <c r="C69" t="s">
        <v>258</v>
      </c>
      <c r="D69" s="9">
        <f>D35*(D58/D45-D65/D62)*D45</f>
        <v>3299.9999999999995</v>
      </c>
      <c r="E69" s="9">
        <f t="shared" ref="E69:P69" si="36">E35*(E58/E45-E65/E62)*E45</f>
        <v>1.8943180357666733E-22</v>
      </c>
      <c r="F69" s="9">
        <f t="shared" si="36"/>
        <v>0</v>
      </c>
      <c r="G69" s="9">
        <f t="shared" si="36"/>
        <v>0</v>
      </c>
      <c r="H69" s="9">
        <f t="shared" si="36"/>
        <v>-653.33333333333428</v>
      </c>
      <c r="J69" s="9">
        <f t="shared" si="36"/>
        <v>0</v>
      </c>
      <c r="K69" s="9">
        <f t="shared" si="36"/>
        <v>0</v>
      </c>
      <c r="L69" s="9">
        <f t="shared" si="36"/>
        <v>0</v>
      </c>
      <c r="M69" s="9">
        <f t="shared" si="36"/>
        <v>-5173.3333333333203</v>
      </c>
      <c r="N69" s="9">
        <f t="shared" si="36"/>
        <v>805.99999999999841</v>
      </c>
      <c r="O69" s="9">
        <f t="shared" si="36"/>
        <v>2252.2499999999986</v>
      </c>
      <c r="P69" s="9">
        <f t="shared" si="36"/>
        <v>0</v>
      </c>
      <c r="S69" s="9">
        <f t="shared" si="31"/>
        <v>531.5833333333419</v>
      </c>
      <c r="T69" s="74"/>
    </row>
    <row r="70" spans="2:22" x14ac:dyDescent="0.25">
      <c r="B70" s="76"/>
      <c r="C70" t="s">
        <v>259</v>
      </c>
      <c r="H70" s="9">
        <f>H38*(H59/H46-H66/H63)*H46</f>
        <v>0</v>
      </c>
      <c r="I70" s="9">
        <f t="shared" ref="I70:J70" si="37">I38*(I59/I46-I66/I63)*I46</f>
        <v>-339.99999999999994</v>
      </c>
      <c r="J70" s="9">
        <f t="shared" si="37"/>
        <v>0</v>
      </c>
      <c r="M70" s="9">
        <f t="shared" ref="M70" si="38">M38*(M59/M46-M66/M63)*M46</f>
        <v>0</v>
      </c>
      <c r="P70" s="9">
        <f t="shared" ref="P70:R70" si="39">P38*(P59/P46-P66/P63)*P46</f>
        <v>0</v>
      </c>
      <c r="Q70" s="9">
        <f t="shared" si="39"/>
        <v>-1200.0000000000011</v>
      </c>
      <c r="R70" s="9">
        <f t="shared" si="39"/>
        <v>640.00000000000057</v>
      </c>
      <c r="S70" s="9">
        <f t="shared" si="31"/>
        <v>-900.00000000000057</v>
      </c>
      <c r="T70" s="74"/>
    </row>
    <row r="71" spans="2:22" x14ac:dyDescent="0.25">
      <c r="B71" s="76"/>
      <c r="C71" t="s">
        <v>260</v>
      </c>
      <c r="H71" s="9">
        <f>H39*(H60/H46-H67/H63)*H46</f>
        <v>0</v>
      </c>
      <c r="I71" s="9">
        <f t="shared" ref="I71:J71" si="40">I39*(I60/I46-I67/I63)*I46</f>
        <v>489.99999999999989</v>
      </c>
      <c r="J71" s="9">
        <f t="shared" si="40"/>
        <v>0</v>
      </c>
      <c r="M71" s="9">
        <f t="shared" ref="M71" si="41">M39*(M60/M46-M67/M63)*M46</f>
        <v>0</v>
      </c>
      <c r="P71" s="9">
        <f t="shared" ref="P71:R71" si="42">P39*(P60/P46-P67/P63)*P46</f>
        <v>0</v>
      </c>
      <c r="Q71" s="9">
        <f t="shared" si="42"/>
        <v>1950.000000000007</v>
      </c>
      <c r="R71" s="9">
        <f t="shared" si="42"/>
        <v>-1040.0000000000009</v>
      </c>
      <c r="S71" s="9">
        <f t="shared" si="31"/>
        <v>1400.0000000000059</v>
      </c>
      <c r="T71" s="74"/>
    </row>
    <row r="72" spans="2:22" x14ac:dyDescent="0.25">
      <c r="B72" s="76"/>
      <c r="C72" s="160" t="s">
        <v>261</v>
      </c>
      <c r="D72" s="161">
        <f t="shared" ref="D72:R72" si="43">SUM(D68:D71)</f>
        <v>499.99999999999955</v>
      </c>
      <c r="E72" s="161">
        <f t="shared" si="43"/>
        <v>1.8943180357666733E-22</v>
      </c>
      <c r="F72" s="161">
        <f t="shared" si="43"/>
        <v>0</v>
      </c>
      <c r="G72" s="161">
        <f t="shared" si="43"/>
        <v>0</v>
      </c>
      <c r="H72" s="161">
        <f t="shared" si="43"/>
        <v>-199.99999999999989</v>
      </c>
      <c r="I72" s="161">
        <f t="shared" si="43"/>
        <v>149.99999999999994</v>
      </c>
      <c r="J72" s="161">
        <f t="shared" si="43"/>
        <v>0</v>
      </c>
      <c r="K72" s="161">
        <f t="shared" si="43"/>
        <v>0</v>
      </c>
      <c r="L72" s="161">
        <f t="shared" si="43"/>
        <v>0</v>
      </c>
      <c r="M72" s="161">
        <f t="shared" si="43"/>
        <v>-2399.9999999999936</v>
      </c>
      <c r="N72" s="161">
        <f t="shared" si="43"/>
        <v>584.99999999999818</v>
      </c>
      <c r="O72" s="161">
        <f t="shared" si="43"/>
        <v>1478.7499999999991</v>
      </c>
      <c r="P72" s="161">
        <f t="shared" si="43"/>
        <v>0</v>
      </c>
      <c r="Q72" s="161">
        <f t="shared" si="43"/>
        <v>750.00000000000591</v>
      </c>
      <c r="R72" s="161">
        <f t="shared" si="43"/>
        <v>-400.00000000000034</v>
      </c>
      <c r="S72" s="162">
        <f t="shared" si="31"/>
        <v>463.75000000000875</v>
      </c>
      <c r="T72" s="74"/>
      <c r="V72" s="71">
        <f>SUM(S68:S71)</f>
        <v>463.75000000000864</v>
      </c>
    </row>
    <row r="73" spans="2:22" ht="14.4" thickBot="1" x14ac:dyDescent="0.3">
      <c r="B73" s="69"/>
      <c r="C73" s="95"/>
      <c r="D73" s="112"/>
      <c r="E73" s="112"/>
      <c r="F73" s="112"/>
      <c r="G73" s="112"/>
      <c r="H73" s="112"/>
      <c r="I73" s="112"/>
      <c r="J73" s="95"/>
      <c r="K73" s="95"/>
      <c r="L73" s="95"/>
      <c r="M73" s="95"/>
      <c r="N73" s="95"/>
      <c r="O73" s="95"/>
      <c r="P73" s="95"/>
      <c r="Q73" s="95"/>
      <c r="R73" s="95"/>
      <c r="S73" s="95"/>
      <c r="T73" s="70"/>
    </row>
  </sheetData>
  <phoneticPr fontId="13" type="noConversion"/>
  <pageMargins left="0.7" right="0.7" top="0.75" bottom="0.75" header="0.3" footer="0.3"/>
  <pageSetup paperSize="9" orientation="portrait" r:id="rId1"/>
  <ignoredErrors>
    <ignoredError sqref="V58 V65"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表1</vt:lpstr>
      <vt:lpstr>表A1</vt:lpstr>
      <vt:lpstr>表A2</vt:lpstr>
      <vt:lpstr>表 A3</vt:lpstr>
      <vt:lpstr>表TN-1</vt:lpstr>
      <vt:lpstr>表TN-2</vt:lpstr>
      <vt:lpstr>表TN-3和表TN-6</vt:lpstr>
      <vt:lpstr>表TN-4</vt:lpstr>
      <vt:lpstr>表TN-5</vt:lpstr>
      <vt:lpstr>图 TN-1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Wouters, Marcus (IBU)</dc:creator>
  <cp:lastModifiedBy>Stella Hu</cp:lastModifiedBy>
  <cp:lastPrinted>2021-01-19T18:50:47Z</cp:lastPrinted>
  <dcterms:created xsi:type="dcterms:W3CDTF">2020-04-17T09:43:07Z</dcterms:created>
  <dcterms:modified xsi:type="dcterms:W3CDTF">2023-02-07T13:18:09Z</dcterms:modified>
</cp:coreProperties>
</file>