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3850" yWindow="730" windowWidth="19020" windowHeight="13740" tabRatio="786" firstSheet="1" activeTab="7"/>
  </bookViews>
  <sheets>
    <sheet name="默认表格" sheetId="1" r:id="rId1"/>
    <sheet name="学生表格" sheetId="12" r:id="rId2"/>
    <sheet name="基于预测的空白表格" sheetId="7" r:id="rId3"/>
    <sheet name="基于固定产量的空白表格" sheetId="8" r:id="rId4"/>
    <sheet name="基于预测的答案" sheetId="3" r:id="rId5"/>
    <sheet name="基于固定产量1的答案" sheetId="13" r:id="rId6"/>
    <sheet name="基于固定产量2的答案" sheetId="14" r:id="rId7"/>
    <sheet name="数据可视化" sheetId="15" r:id="rId8"/>
  </sheets>
  <definedNames>
    <definedName name="_xlnm.Print_Area" localSheetId="0">默认表格!$B$4:$U$45</definedName>
    <definedName name="_xlnm.Print_Area" localSheetId="1">学生表格!$B$4:$U$45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4" l="1"/>
  <c r="H44" i="13"/>
  <c r="U45" i="12"/>
  <c r="E3" i="14" s="1"/>
  <c r="U44" i="12"/>
  <c r="F3" i="13" s="1"/>
  <c r="F11" i="13" s="1"/>
  <c r="U8" i="12"/>
  <c r="B3" i="3" s="1"/>
  <c r="U9" i="12"/>
  <c r="C3" i="3" s="1"/>
  <c r="U10" i="12"/>
  <c r="U29" i="12" s="1"/>
  <c r="U11" i="12"/>
  <c r="E3" i="3" s="1"/>
  <c r="U12" i="12"/>
  <c r="F3" i="3" s="1"/>
  <c r="U13" i="12"/>
  <c r="U32" i="12" s="1"/>
  <c r="U14" i="12"/>
  <c r="U15" i="12"/>
  <c r="U16" i="12"/>
  <c r="U17" i="12"/>
  <c r="U18" i="12"/>
  <c r="U19" i="12"/>
  <c r="T19" i="12"/>
  <c r="U26" i="12" s="1"/>
  <c r="T18" i="12"/>
  <c r="U25" i="12" s="1"/>
  <c r="T17" i="12"/>
  <c r="T16" i="12"/>
  <c r="T15" i="12"/>
  <c r="T14" i="12"/>
  <c r="T13" i="12"/>
  <c r="T12" i="12"/>
  <c r="T11" i="12"/>
  <c r="T10" i="12"/>
  <c r="T9" i="12"/>
  <c r="T8" i="12"/>
  <c r="O39" i="12"/>
  <c r="B23" i="13" s="1"/>
  <c r="O36" i="12"/>
  <c r="B41" i="14" s="1"/>
  <c r="H41" i="14" s="1"/>
  <c r="B31" i="12"/>
  <c r="G18" i="14" s="1"/>
  <c r="M31" i="12"/>
  <c r="B32" i="14" s="1"/>
  <c r="M30" i="12"/>
  <c r="B31" i="14" s="1"/>
  <c r="M24" i="12"/>
  <c r="B37" i="13" s="1"/>
  <c r="N24" i="12"/>
  <c r="F37" i="13" s="1"/>
  <c r="O24" i="12"/>
  <c r="D37" i="14" s="1"/>
  <c r="O23" i="12"/>
  <c r="O22" i="12"/>
  <c r="G36" i="13" s="1"/>
  <c r="O21" i="12"/>
  <c r="G35" i="3" s="1"/>
  <c r="O20" i="12"/>
  <c r="O19" i="12"/>
  <c r="O18" i="12"/>
  <c r="N18" i="12"/>
  <c r="N19" i="12"/>
  <c r="N20" i="12"/>
  <c r="N21" i="12"/>
  <c r="F35" i="13" s="1"/>
  <c r="N22" i="12"/>
  <c r="F36" i="14" s="1"/>
  <c r="N23" i="12"/>
  <c r="M23" i="12"/>
  <c r="M22" i="12"/>
  <c r="E36" i="14" s="1"/>
  <c r="M21" i="12"/>
  <c r="E35" i="3" s="1"/>
  <c r="M20" i="12"/>
  <c r="M19" i="12"/>
  <c r="M18" i="12"/>
  <c r="O17" i="12"/>
  <c r="N17" i="12"/>
  <c r="M17" i="12"/>
  <c r="O7" i="12"/>
  <c r="N7" i="12"/>
  <c r="O14" i="12"/>
  <c r="N14" i="12"/>
  <c r="M14" i="12"/>
  <c r="O13" i="12"/>
  <c r="O12" i="12"/>
  <c r="D36" i="13" s="1"/>
  <c r="O11" i="12"/>
  <c r="D35" i="14" s="1"/>
  <c r="O10" i="12"/>
  <c r="O9" i="12"/>
  <c r="O8" i="12"/>
  <c r="N8" i="12"/>
  <c r="N9" i="12"/>
  <c r="N10" i="12"/>
  <c r="N11" i="12"/>
  <c r="C35" i="14" s="1"/>
  <c r="N12" i="12"/>
  <c r="C36" i="13" s="1"/>
  <c r="N13" i="12"/>
  <c r="M13" i="12"/>
  <c r="M12" i="12"/>
  <c r="B36" i="14" s="1"/>
  <c r="M11" i="12"/>
  <c r="B35" i="13" s="1"/>
  <c r="M10" i="12"/>
  <c r="M9" i="12"/>
  <c r="M8" i="12"/>
  <c r="M7" i="12"/>
  <c r="E39" i="12"/>
  <c r="B16" i="13" s="1"/>
  <c r="H16" i="13" s="1"/>
  <c r="F26" i="12"/>
  <c r="F25" i="12"/>
  <c r="E17" i="12"/>
  <c r="E15" i="12"/>
  <c r="B6" i="3" s="1"/>
  <c r="D10" i="12"/>
  <c r="E10" i="12"/>
  <c r="F10" i="12"/>
  <c r="G10" i="12"/>
  <c r="F23" i="12"/>
  <c r="E12" i="14" s="1"/>
  <c r="O25" i="14" l="1"/>
  <c r="O25" i="13"/>
  <c r="K25" i="13"/>
  <c r="K25" i="14"/>
  <c r="L26" i="14"/>
  <c r="L26" i="13"/>
  <c r="M26" i="13"/>
  <c r="M26" i="14"/>
  <c r="N24" i="13"/>
  <c r="N24" i="14"/>
  <c r="P24" i="13"/>
  <c r="P24" i="14"/>
  <c r="K24" i="14"/>
  <c r="K24" i="13"/>
  <c r="M24" i="14"/>
  <c r="M24" i="13"/>
  <c r="N26" i="13"/>
  <c r="N26" i="14"/>
  <c r="P26" i="14"/>
  <c r="P26" i="13"/>
  <c r="M25" i="14"/>
  <c r="M25" i="13"/>
  <c r="O24" i="13"/>
  <c r="O24" i="14"/>
  <c r="K26" i="13"/>
  <c r="K26" i="14"/>
  <c r="L25" i="14"/>
  <c r="L25" i="13"/>
  <c r="L24" i="13"/>
  <c r="L24" i="14"/>
  <c r="N25" i="14"/>
  <c r="N25" i="13"/>
  <c r="O26" i="13"/>
  <c r="O26" i="14"/>
  <c r="G33" i="3"/>
  <c r="P25" i="13"/>
  <c r="P25" i="14"/>
  <c r="G4" i="3"/>
  <c r="G14" i="3"/>
  <c r="D49" i="13"/>
  <c r="D49" i="3"/>
  <c r="D49" i="14"/>
  <c r="E26" i="14" s="1"/>
  <c r="B27" i="3"/>
  <c r="B27" i="14"/>
  <c r="B27" i="13"/>
  <c r="G49" i="14"/>
  <c r="G25" i="14" s="1"/>
  <c r="G49" i="13"/>
  <c r="G25" i="13" s="1"/>
  <c r="G49" i="3"/>
  <c r="G25" i="3" s="1"/>
  <c r="C6" i="13"/>
  <c r="C6" i="14"/>
  <c r="E6" i="14"/>
  <c r="E6" i="13"/>
  <c r="B4" i="13"/>
  <c r="H4" i="13" s="1"/>
  <c r="B4" i="14"/>
  <c r="H4" i="14" s="1"/>
  <c r="C27" i="14"/>
  <c r="B26" i="13"/>
  <c r="C27" i="13"/>
  <c r="B26" i="3"/>
  <c r="B26" i="14"/>
  <c r="C27" i="3"/>
  <c r="F6" i="14"/>
  <c r="F6" i="13"/>
  <c r="B6" i="14"/>
  <c r="B6" i="13"/>
  <c r="U28" i="12"/>
  <c r="G3" i="3"/>
  <c r="F4" i="3" s="1"/>
  <c r="E4" i="3"/>
  <c r="F12" i="3"/>
  <c r="H18" i="3"/>
  <c r="D18" i="3"/>
  <c r="B36" i="3"/>
  <c r="C32" i="3"/>
  <c r="C36" i="3"/>
  <c r="C34" i="3"/>
  <c r="E32" i="3"/>
  <c r="E34" i="3"/>
  <c r="F35" i="3"/>
  <c r="F33" i="3"/>
  <c r="G37" i="3"/>
  <c r="C12" i="13"/>
  <c r="G12" i="13"/>
  <c r="B18" i="13"/>
  <c r="F18" i="13"/>
  <c r="B31" i="13"/>
  <c r="C35" i="13"/>
  <c r="G35" i="13"/>
  <c r="E36" i="13"/>
  <c r="C37" i="13"/>
  <c r="G37" i="13"/>
  <c r="E3" i="13"/>
  <c r="E11" i="13" s="1"/>
  <c r="B12" i="14"/>
  <c r="F12" i="14"/>
  <c r="B16" i="14"/>
  <c r="H16" i="14" s="1"/>
  <c r="D18" i="14"/>
  <c r="H18" i="14"/>
  <c r="E35" i="14"/>
  <c r="C36" i="14"/>
  <c r="G36" i="14"/>
  <c r="E37" i="14"/>
  <c r="B3" i="14"/>
  <c r="B11" i="14" s="1"/>
  <c r="D3" i="14"/>
  <c r="D11" i="14" s="1"/>
  <c r="U27" i="12"/>
  <c r="U31" i="12"/>
  <c r="D3" i="3"/>
  <c r="C4" i="3" s="1"/>
  <c r="D4" i="3"/>
  <c r="B12" i="3"/>
  <c r="E12" i="3"/>
  <c r="G18" i="3"/>
  <c r="C18" i="3"/>
  <c r="B31" i="3"/>
  <c r="B35" i="3"/>
  <c r="D37" i="3"/>
  <c r="D35" i="3"/>
  <c r="D33" i="3"/>
  <c r="E33" i="3"/>
  <c r="G36" i="3"/>
  <c r="G34" i="3"/>
  <c r="F32" i="3"/>
  <c r="F37" i="3"/>
  <c r="D12" i="13"/>
  <c r="H12" i="13"/>
  <c r="C18" i="13"/>
  <c r="G18" i="13"/>
  <c r="B32" i="13"/>
  <c r="D35" i="13"/>
  <c r="B36" i="13"/>
  <c r="F36" i="13"/>
  <c r="D37" i="13"/>
  <c r="B41" i="13"/>
  <c r="H41" i="13" s="1"/>
  <c r="B3" i="13"/>
  <c r="D3" i="13"/>
  <c r="D11" i="13" s="1"/>
  <c r="C12" i="14"/>
  <c r="G12" i="14"/>
  <c r="E18" i="14"/>
  <c r="B23" i="14"/>
  <c r="H23" i="14" s="1"/>
  <c r="B35" i="14"/>
  <c r="F35" i="14"/>
  <c r="D36" i="14"/>
  <c r="B37" i="14"/>
  <c r="F37" i="14"/>
  <c r="G3" i="14"/>
  <c r="G11" i="14" s="1"/>
  <c r="C3" i="14"/>
  <c r="C11" i="14" s="1"/>
  <c r="U30" i="12"/>
  <c r="B4" i="3"/>
  <c r="H12" i="3"/>
  <c r="D12" i="3"/>
  <c r="B16" i="3"/>
  <c r="F18" i="3"/>
  <c r="B23" i="3"/>
  <c r="B32" i="3"/>
  <c r="B34" i="3"/>
  <c r="C37" i="3"/>
  <c r="C35" i="3"/>
  <c r="C33" i="3"/>
  <c r="E36" i="3"/>
  <c r="F36" i="3"/>
  <c r="F34" i="3"/>
  <c r="G32" i="3"/>
  <c r="B41" i="3"/>
  <c r="E12" i="13"/>
  <c r="D18" i="13"/>
  <c r="H18" i="13"/>
  <c r="E35" i="13"/>
  <c r="E37" i="13"/>
  <c r="G3" i="13"/>
  <c r="G11" i="13" s="1"/>
  <c r="C3" i="13"/>
  <c r="C11" i="13" s="1"/>
  <c r="D12" i="14"/>
  <c r="H12" i="14"/>
  <c r="B18" i="14"/>
  <c r="F18" i="14"/>
  <c r="G35" i="14"/>
  <c r="C37" i="14"/>
  <c r="G37" i="14"/>
  <c r="F3" i="14"/>
  <c r="F11" i="14" s="1"/>
  <c r="G12" i="3"/>
  <c r="C12" i="3"/>
  <c r="B18" i="3"/>
  <c r="E18" i="3"/>
  <c r="B33" i="3"/>
  <c r="B37" i="3"/>
  <c r="D36" i="3"/>
  <c r="D34" i="3"/>
  <c r="D32" i="3"/>
  <c r="E37" i="3"/>
  <c r="B12" i="13"/>
  <c r="F12" i="13"/>
  <c r="E18" i="13"/>
  <c r="C18" i="14"/>
  <c r="E11" i="14"/>
  <c r="E13" i="14" s="1"/>
  <c r="H23" i="13"/>
  <c r="G13" i="14" l="1"/>
  <c r="F14" i="14" s="1"/>
  <c r="G14" i="14" s="1"/>
  <c r="H14" i="14" s="1"/>
  <c r="B5" i="14"/>
  <c r="B7" i="14" s="1"/>
  <c r="C4" i="14" s="1"/>
  <c r="C5" i="14" s="1"/>
  <c r="C7" i="14" s="1"/>
  <c r="D4" i="14" s="1"/>
  <c r="D5" i="14" s="1"/>
  <c r="C13" i="14"/>
  <c r="B14" i="14" s="1"/>
  <c r="C16" i="14" s="1"/>
  <c r="F27" i="14"/>
  <c r="D25" i="14"/>
  <c r="H3" i="3"/>
  <c r="H6" i="14" s="1"/>
  <c r="B13" i="14"/>
  <c r="H36" i="13"/>
  <c r="D13" i="14"/>
  <c r="C14" i="14" s="1"/>
  <c r="D16" i="14" s="1"/>
  <c r="H35" i="14"/>
  <c r="H36" i="14"/>
  <c r="H37" i="13"/>
  <c r="B5" i="13"/>
  <c r="B7" i="13" s="1"/>
  <c r="C4" i="13" s="1"/>
  <c r="C5" i="13" s="1"/>
  <c r="C7" i="13" s="1"/>
  <c r="D4" i="13" s="1"/>
  <c r="D5" i="13" s="1"/>
  <c r="H37" i="14"/>
  <c r="F27" i="3"/>
  <c r="E26" i="3"/>
  <c r="D25" i="3"/>
  <c r="H3" i="14"/>
  <c r="H3" i="13"/>
  <c r="B11" i="13"/>
  <c r="B13" i="13" s="1"/>
  <c r="B49" i="13"/>
  <c r="B49" i="3"/>
  <c r="B49" i="14"/>
  <c r="D25" i="13"/>
  <c r="E26" i="13"/>
  <c r="F27" i="13"/>
  <c r="F49" i="13"/>
  <c r="F49" i="3"/>
  <c r="F49" i="14"/>
  <c r="H35" i="13"/>
  <c r="G6" i="13"/>
  <c r="G6" i="14"/>
  <c r="E49" i="13"/>
  <c r="E49" i="3"/>
  <c r="E49" i="14"/>
  <c r="F13" i="14"/>
  <c r="E14" i="14" s="1"/>
  <c r="F16" i="14" s="1"/>
  <c r="D6" i="14"/>
  <c r="D6" i="13"/>
  <c r="C49" i="14"/>
  <c r="C49" i="3"/>
  <c r="C49" i="13"/>
  <c r="D14" i="14"/>
  <c r="F13" i="13"/>
  <c r="E14" i="13" s="1"/>
  <c r="F16" i="13" s="1"/>
  <c r="E13" i="13"/>
  <c r="C13" i="13"/>
  <c r="D13" i="13"/>
  <c r="H5" i="14" l="1"/>
  <c r="H7" i="14" s="1"/>
  <c r="H11" i="14"/>
  <c r="H5" i="13"/>
  <c r="H11" i="13"/>
  <c r="C15" i="14"/>
  <c r="C17" i="14" s="1"/>
  <c r="C19" i="14" s="1"/>
  <c r="D31" i="14" s="1"/>
  <c r="H6" i="13"/>
  <c r="D7" i="13"/>
  <c r="E4" i="13" s="1"/>
  <c r="E5" i="13" s="1"/>
  <c r="E7" i="13" s="1"/>
  <c r="F4" i="13" s="1"/>
  <c r="F5" i="13" s="1"/>
  <c r="F7" i="13" s="1"/>
  <c r="G4" i="13" s="1"/>
  <c r="G5" i="13" s="1"/>
  <c r="G7" i="13" s="1"/>
  <c r="G13" i="13" s="1"/>
  <c r="F14" i="13" s="1"/>
  <c r="G14" i="13" s="1"/>
  <c r="H14" i="13" s="1"/>
  <c r="E15" i="14"/>
  <c r="G15" i="14"/>
  <c r="D7" i="14"/>
  <c r="E4" i="14" s="1"/>
  <c r="E5" i="14" s="1"/>
  <c r="E7" i="14" s="1"/>
  <c r="F4" i="14" s="1"/>
  <c r="F5" i="14" s="1"/>
  <c r="F7" i="14" s="1"/>
  <c r="G4" i="14" s="1"/>
  <c r="G5" i="14" s="1"/>
  <c r="G7" i="14" s="1"/>
  <c r="E27" i="13"/>
  <c r="C25" i="13"/>
  <c r="D26" i="13"/>
  <c r="G26" i="13"/>
  <c r="F25" i="13"/>
  <c r="D27" i="14"/>
  <c r="B25" i="14"/>
  <c r="C26" i="14"/>
  <c r="E25" i="13"/>
  <c r="F26" i="13"/>
  <c r="G27" i="13"/>
  <c r="G26" i="3"/>
  <c r="F25" i="3"/>
  <c r="D26" i="3"/>
  <c r="E27" i="3"/>
  <c r="C25" i="3"/>
  <c r="D26" i="14"/>
  <c r="E27" i="14"/>
  <c r="C25" i="14"/>
  <c r="G27" i="14"/>
  <c r="F26" i="14"/>
  <c r="E25" i="14"/>
  <c r="C26" i="3"/>
  <c r="B25" i="3"/>
  <c r="D27" i="3"/>
  <c r="G27" i="3"/>
  <c r="F26" i="3"/>
  <c r="E25" i="3"/>
  <c r="F25" i="14"/>
  <c r="G26" i="14"/>
  <c r="C26" i="13"/>
  <c r="D27" i="13"/>
  <c r="B25" i="13"/>
  <c r="B28" i="13" s="1"/>
  <c r="G16" i="14"/>
  <c r="F15" i="14"/>
  <c r="F17" i="14" s="1"/>
  <c r="F19" i="14" s="1"/>
  <c r="G31" i="14" s="1"/>
  <c r="E16" i="14"/>
  <c r="D15" i="14"/>
  <c r="D17" i="14" s="1"/>
  <c r="D19" i="14" s="1"/>
  <c r="E31" i="14" s="1"/>
  <c r="B15" i="14"/>
  <c r="B17" i="14" s="1"/>
  <c r="B19" i="14" s="1"/>
  <c r="C31" i="14" s="1"/>
  <c r="B14" i="13"/>
  <c r="E15" i="13"/>
  <c r="D14" i="13"/>
  <c r="E16" i="13" s="1"/>
  <c r="C14" i="13"/>
  <c r="D16" i="13" s="1"/>
  <c r="H13" i="14" l="1"/>
  <c r="H15" i="14" s="1"/>
  <c r="H17" i="14" s="1"/>
  <c r="H19" i="14" s="1"/>
  <c r="H7" i="13"/>
  <c r="E28" i="14"/>
  <c r="H13" i="13"/>
  <c r="H15" i="13" s="1"/>
  <c r="H17" i="13" s="1"/>
  <c r="H19" i="13" s="1"/>
  <c r="E17" i="14"/>
  <c r="E19" i="14" s="1"/>
  <c r="F31" i="14" s="1"/>
  <c r="F28" i="13"/>
  <c r="G16" i="13"/>
  <c r="F15" i="13"/>
  <c r="F17" i="13" s="1"/>
  <c r="F19" i="13" s="1"/>
  <c r="G31" i="13" s="1"/>
  <c r="D28" i="13"/>
  <c r="G17" i="14"/>
  <c r="G19" i="14" s="1"/>
  <c r="D28" i="14"/>
  <c r="C28" i="14"/>
  <c r="F28" i="14"/>
  <c r="E28" i="13"/>
  <c r="B29" i="13"/>
  <c r="H25" i="13"/>
  <c r="C28" i="13"/>
  <c r="H27" i="13"/>
  <c r="H26" i="14"/>
  <c r="G28" i="13"/>
  <c r="B28" i="14"/>
  <c r="H25" i="14"/>
  <c r="G15" i="13"/>
  <c r="G28" i="14"/>
  <c r="H27" i="14"/>
  <c r="H26" i="13"/>
  <c r="C15" i="13"/>
  <c r="E17" i="13"/>
  <c r="E19" i="13" s="1"/>
  <c r="F31" i="13" s="1"/>
  <c r="D15" i="13"/>
  <c r="D17" i="13" s="1"/>
  <c r="D19" i="13" s="1"/>
  <c r="E31" i="13" s="1"/>
  <c r="C16" i="13"/>
  <c r="B15" i="13"/>
  <c r="B17" i="13" s="1"/>
  <c r="B19" i="13" s="1"/>
  <c r="C31" i="13" s="1"/>
  <c r="H31" i="14" l="1"/>
  <c r="G17" i="13"/>
  <c r="G19" i="13" s="1"/>
  <c r="H28" i="14"/>
  <c r="H29" i="14" s="1"/>
  <c r="B29" i="14"/>
  <c r="H28" i="13"/>
  <c r="H29" i="13" s="1"/>
  <c r="C17" i="13"/>
  <c r="C19" i="13" s="1"/>
  <c r="D31" i="13" s="1"/>
  <c r="H31" i="13" l="1"/>
  <c r="U20" i="12" l="1"/>
  <c r="C10" i="12" s="1"/>
  <c r="T20" i="12"/>
  <c r="H7" i="12" s="1"/>
  <c r="H44" i="3" l="1"/>
  <c r="H41" i="3"/>
  <c r="B38" i="3"/>
  <c r="J4" i="15" s="1"/>
  <c r="H32" i="3"/>
  <c r="H33" i="3"/>
  <c r="H34" i="3"/>
  <c r="H35" i="3"/>
  <c r="H36" i="3"/>
  <c r="H37" i="3"/>
  <c r="C28" i="3"/>
  <c r="K3" i="15" s="1"/>
  <c r="D28" i="3"/>
  <c r="L3" i="15" s="1"/>
  <c r="E28" i="3"/>
  <c r="M3" i="15" s="1"/>
  <c r="F28" i="3"/>
  <c r="N3" i="15" s="1"/>
  <c r="G28" i="3"/>
  <c r="O3" i="15" s="1"/>
  <c r="B28" i="3"/>
  <c r="J3" i="15" s="1"/>
  <c r="H26" i="3"/>
  <c r="H27" i="3"/>
  <c r="H25" i="3"/>
  <c r="H23" i="3"/>
  <c r="H16" i="3"/>
  <c r="H14" i="3"/>
  <c r="H6" i="3"/>
  <c r="G5" i="3"/>
  <c r="H4" i="3"/>
  <c r="H5" i="3" s="1"/>
  <c r="D6" i="3"/>
  <c r="E6" i="3"/>
  <c r="E5" i="3"/>
  <c r="F5" i="3"/>
  <c r="B5" i="3"/>
  <c r="B7" i="3" s="1"/>
  <c r="B11" i="3" l="1"/>
  <c r="B13" i="3" s="1"/>
  <c r="K23" i="14"/>
  <c r="K23" i="13"/>
  <c r="A3" i="15"/>
  <c r="B39" i="3"/>
  <c r="H28" i="3"/>
  <c r="H29" i="3" s="1"/>
  <c r="B29" i="3"/>
  <c r="H7" i="3"/>
  <c r="C6" i="3"/>
  <c r="G6" i="3"/>
  <c r="G7" i="3" s="1"/>
  <c r="E7" i="3"/>
  <c r="F6" i="3"/>
  <c r="F7" i="3" s="1"/>
  <c r="D5" i="3"/>
  <c r="D7" i="3" s="1"/>
  <c r="C5" i="3"/>
  <c r="H11" i="3" l="1"/>
  <c r="H13" i="3" s="1"/>
  <c r="H15" i="3" s="1"/>
  <c r="H17" i="3" s="1"/>
  <c r="H19" i="3" s="1"/>
  <c r="G11" i="3"/>
  <c r="G13" i="3" s="1"/>
  <c r="G15" i="3" s="1"/>
  <c r="P23" i="14"/>
  <c r="F3" i="15"/>
  <c r="P23" i="13"/>
  <c r="F11" i="3"/>
  <c r="F13" i="3" s="1"/>
  <c r="E14" i="3" s="1"/>
  <c r="F16" i="3" s="1"/>
  <c r="O23" i="14"/>
  <c r="E3" i="15"/>
  <c r="O23" i="13"/>
  <c r="E11" i="3"/>
  <c r="E13" i="3" s="1"/>
  <c r="D14" i="3" s="1"/>
  <c r="N23" i="14"/>
  <c r="N23" i="13"/>
  <c r="D3" i="15"/>
  <c r="D11" i="3"/>
  <c r="D13" i="3" s="1"/>
  <c r="C14" i="3" s="1"/>
  <c r="D16" i="3" s="1"/>
  <c r="M23" i="13"/>
  <c r="C3" i="15"/>
  <c r="M23" i="14"/>
  <c r="B42" i="3"/>
  <c r="B43" i="3" s="1"/>
  <c r="B45" i="3" s="1"/>
  <c r="C7" i="3"/>
  <c r="F14" i="3" l="1"/>
  <c r="G16" i="3" s="1"/>
  <c r="G17" i="3" s="1"/>
  <c r="G19" i="3" s="1"/>
  <c r="D15" i="3"/>
  <c r="D17" i="3" s="1"/>
  <c r="D19" i="3" s="1"/>
  <c r="E31" i="3" s="1"/>
  <c r="E38" i="3" s="1"/>
  <c r="C11" i="3"/>
  <c r="C13" i="3" s="1"/>
  <c r="B14" i="3" s="1"/>
  <c r="C16" i="3" s="1"/>
  <c r="L23" i="13"/>
  <c r="B3" i="15"/>
  <c r="L23" i="14"/>
  <c r="Q24" i="13"/>
  <c r="R24" i="13"/>
  <c r="Q24" i="14"/>
  <c r="R24" i="14"/>
  <c r="E15" i="3"/>
  <c r="B50" i="3"/>
  <c r="B51" i="3"/>
  <c r="B46" i="3"/>
  <c r="B47" i="3" s="1"/>
  <c r="C23" i="3" s="1"/>
  <c r="C29" i="3" s="1"/>
  <c r="E16" i="3"/>
  <c r="C15" i="3" l="1"/>
  <c r="B15" i="3"/>
  <c r="B17" i="3" s="1"/>
  <c r="B19" i="3" s="1"/>
  <c r="C31" i="3" s="1"/>
  <c r="F15" i="3"/>
  <c r="F17" i="3" s="1"/>
  <c r="F19" i="3" s="1"/>
  <c r="G31" i="3" s="1"/>
  <c r="G38" i="3" s="1"/>
  <c r="G39" i="3" s="1"/>
  <c r="G42" i="3" s="1"/>
  <c r="E17" i="3"/>
  <c r="E19" i="3" s="1"/>
  <c r="F31" i="3" s="1"/>
  <c r="F38" i="3" s="1"/>
  <c r="N4" i="15" s="1"/>
  <c r="Q26" i="14"/>
  <c r="Q25" i="14"/>
  <c r="R26" i="14"/>
  <c r="E32" i="13"/>
  <c r="C32" i="13"/>
  <c r="D32" i="13"/>
  <c r="F32" i="13"/>
  <c r="G32" i="13"/>
  <c r="F32" i="14"/>
  <c r="G32" i="14"/>
  <c r="D32" i="14"/>
  <c r="C32" i="14"/>
  <c r="E32" i="14"/>
  <c r="R25" i="13"/>
  <c r="Q25" i="13"/>
  <c r="R26" i="13"/>
  <c r="Q26" i="13"/>
  <c r="E39" i="3"/>
  <c r="E42" i="3" s="1"/>
  <c r="M4" i="15"/>
  <c r="R25" i="14"/>
  <c r="C17" i="3"/>
  <c r="C19" i="3" s="1"/>
  <c r="D31" i="3" s="1"/>
  <c r="D38" i="3" s="1"/>
  <c r="C38" i="3"/>
  <c r="O4" i="15" l="1"/>
  <c r="F39" i="3"/>
  <c r="F42" i="3" s="1"/>
  <c r="D39" i="3"/>
  <c r="D42" i="3" s="1"/>
  <c r="L4" i="15"/>
  <c r="H32" i="14"/>
  <c r="D33" i="14"/>
  <c r="B33" i="14"/>
  <c r="G33" i="14"/>
  <c r="E33" i="14"/>
  <c r="F33" i="14"/>
  <c r="C33" i="14"/>
  <c r="E33" i="13"/>
  <c r="G33" i="13"/>
  <c r="B33" i="13"/>
  <c r="F33" i="13"/>
  <c r="C33" i="13"/>
  <c r="D33" i="13"/>
  <c r="C34" i="14"/>
  <c r="G34" i="14"/>
  <c r="F34" i="14"/>
  <c r="D34" i="14"/>
  <c r="B34" i="14"/>
  <c r="E34" i="14"/>
  <c r="C39" i="3"/>
  <c r="C42" i="3" s="1"/>
  <c r="K4" i="15"/>
  <c r="F34" i="13"/>
  <c r="D34" i="13"/>
  <c r="E34" i="13"/>
  <c r="C34" i="13"/>
  <c r="G34" i="13"/>
  <c r="B34" i="13"/>
  <c r="H32" i="13"/>
  <c r="H31" i="3"/>
  <c r="H38" i="3" s="1"/>
  <c r="H39" i="3" s="1"/>
  <c r="E38" i="14" l="1"/>
  <c r="E39" i="14" s="1"/>
  <c r="E42" i="14" s="1"/>
  <c r="D38" i="13"/>
  <c r="D39" i="13" s="1"/>
  <c r="D42" i="13" s="1"/>
  <c r="C38" i="14"/>
  <c r="C39" i="14" s="1"/>
  <c r="C42" i="14" s="1"/>
  <c r="F38" i="14"/>
  <c r="F39" i="14" s="1"/>
  <c r="F42" i="14" s="1"/>
  <c r="C38" i="13"/>
  <c r="C39" i="13" s="1"/>
  <c r="C43" i="13" s="1"/>
  <c r="C45" i="13" s="1"/>
  <c r="G38" i="14"/>
  <c r="G39" i="14" s="1"/>
  <c r="G42" i="14" s="1"/>
  <c r="E38" i="13"/>
  <c r="E39" i="13" s="1"/>
  <c r="E42" i="13" s="1"/>
  <c r="D38" i="14"/>
  <c r="D39" i="14" s="1"/>
  <c r="D42" i="14" s="1"/>
  <c r="H34" i="13"/>
  <c r="G38" i="13"/>
  <c r="G39" i="13" s="1"/>
  <c r="G42" i="13" s="1"/>
  <c r="C43" i="3"/>
  <c r="C45" i="3" s="1"/>
  <c r="C51" i="3" s="1"/>
  <c r="F38" i="13"/>
  <c r="F39" i="13" s="1"/>
  <c r="F42" i="13" s="1"/>
  <c r="H34" i="14"/>
  <c r="B38" i="14"/>
  <c r="B39" i="14" s="1"/>
  <c r="B42" i="14" s="1"/>
  <c r="H33" i="14"/>
  <c r="H33" i="13"/>
  <c r="B38" i="13"/>
  <c r="B39" i="13" s="1"/>
  <c r="B42" i="13" s="1"/>
  <c r="H42" i="3"/>
  <c r="C43" i="14" l="1"/>
  <c r="C45" i="14" s="1"/>
  <c r="C42" i="13"/>
  <c r="C46" i="13" s="1"/>
  <c r="C50" i="3"/>
  <c r="D43" i="3" s="1"/>
  <c r="D45" i="3" s="1"/>
  <c r="D51" i="3" s="1"/>
  <c r="H38" i="13"/>
  <c r="H39" i="13" s="1"/>
  <c r="C46" i="3"/>
  <c r="C47" i="3" s="1"/>
  <c r="D23" i="3" s="1"/>
  <c r="D29" i="3" s="1"/>
  <c r="H38" i="14"/>
  <c r="H39" i="14" s="1"/>
  <c r="B43" i="13"/>
  <c r="B50" i="13" s="1"/>
  <c r="B43" i="14"/>
  <c r="H42" i="14"/>
  <c r="U20" i="1"/>
  <c r="T20" i="1"/>
  <c r="C46" i="14" l="1"/>
  <c r="H42" i="13"/>
  <c r="C50" i="13"/>
  <c r="D43" i="13" s="1"/>
  <c r="D50" i="13" s="1"/>
  <c r="E43" i="13" s="1"/>
  <c r="D46" i="3"/>
  <c r="D47" i="3" s="1"/>
  <c r="E23" i="3" s="1"/>
  <c r="E29" i="3" s="1"/>
  <c r="D50" i="3"/>
  <c r="E43" i="3" s="1"/>
  <c r="E45" i="3" s="1"/>
  <c r="E51" i="3" s="1"/>
  <c r="B45" i="14"/>
  <c r="B46" i="14" s="1"/>
  <c r="B50" i="14"/>
  <c r="C50" i="14"/>
  <c r="D43" i="14" s="1"/>
  <c r="B45" i="13"/>
  <c r="D45" i="13" l="1"/>
  <c r="D46" i="13" s="1"/>
  <c r="E50" i="3"/>
  <c r="F43" i="3" s="1"/>
  <c r="F45" i="3" s="1"/>
  <c r="F51" i="3" s="1"/>
  <c r="E46" i="3"/>
  <c r="E47" i="3" s="1"/>
  <c r="F23" i="3" s="1"/>
  <c r="F29" i="3" s="1"/>
  <c r="D50" i="14"/>
  <c r="E43" i="14" s="1"/>
  <c r="E45" i="14" s="1"/>
  <c r="E46" i="14" s="1"/>
  <c r="D45" i="14"/>
  <c r="D46" i="14" s="1"/>
  <c r="B51" i="13"/>
  <c r="C51" i="13"/>
  <c r="B46" i="13"/>
  <c r="B47" i="14"/>
  <c r="C23" i="14" s="1"/>
  <c r="C29" i="14" s="1"/>
  <c r="C47" i="14" s="1"/>
  <c r="D23" i="14" s="1"/>
  <c r="D29" i="14" s="1"/>
  <c r="E45" i="13"/>
  <c r="E46" i="13" s="1"/>
  <c r="B51" i="14"/>
  <c r="C51" i="14"/>
  <c r="E50" i="13"/>
  <c r="F43" i="13" s="1"/>
  <c r="D51" i="13" l="1"/>
  <c r="D51" i="14"/>
  <c r="D47" i="14"/>
  <c r="E23" i="14" s="1"/>
  <c r="E29" i="14" s="1"/>
  <c r="E47" i="14" s="1"/>
  <c r="F23" i="14" s="1"/>
  <c r="F29" i="14" s="1"/>
  <c r="F46" i="3"/>
  <c r="F47" i="3" s="1"/>
  <c r="G23" i="3" s="1"/>
  <c r="G29" i="3" s="1"/>
  <c r="F50" i="3"/>
  <c r="G43" i="3" s="1"/>
  <c r="G45" i="3" s="1"/>
  <c r="G51" i="3" s="1"/>
  <c r="E50" i="14"/>
  <c r="F43" i="14" s="1"/>
  <c r="F50" i="14" s="1"/>
  <c r="G43" i="14" s="1"/>
  <c r="E51" i="14"/>
  <c r="F50" i="13"/>
  <c r="G43" i="13" s="1"/>
  <c r="G45" i="13" s="1"/>
  <c r="G46" i="13" s="1"/>
  <c r="F45" i="13"/>
  <c r="F51" i="13" s="1"/>
  <c r="B47" i="13"/>
  <c r="C23" i="13" s="1"/>
  <c r="C29" i="13" s="1"/>
  <c r="C47" i="13" s="1"/>
  <c r="D23" i="13" s="1"/>
  <c r="D29" i="13" s="1"/>
  <c r="D47" i="13" s="1"/>
  <c r="E23" i="13" s="1"/>
  <c r="E29" i="13" s="1"/>
  <c r="E47" i="13" s="1"/>
  <c r="F23" i="13" s="1"/>
  <c r="F29" i="13" s="1"/>
  <c r="E51" i="13"/>
  <c r="G50" i="13" l="1"/>
  <c r="H45" i="3"/>
  <c r="H43" i="13"/>
  <c r="H43" i="3"/>
  <c r="G46" i="3"/>
  <c r="H46" i="3" s="1"/>
  <c r="H47" i="3" s="1"/>
  <c r="G50" i="3"/>
  <c r="F45" i="14"/>
  <c r="F46" i="14" s="1"/>
  <c r="F47" i="14" s="1"/>
  <c r="G23" i="14" s="1"/>
  <c r="G29" i="14" s="1"/>
  <c r="G45" i="14"/>
  <c r="G46" i="14" s="1"/>
  <c r="G50" i="14"/>
  <c r="H43" i="14"/>
  <c r="F46" i="13"/>
  <c r="H46" i="13" s="1"/>
  <c r="H47" i="13" s="1"/>
  <c r="G51" i="13"/>
  <c r="H45" i="13"/>
  <c r="E7" i="12"/>
  <c r="G7" i="12"/>
  <c r="F7" i="12"/>
  <c r="D7" i="12"/>
  <c r="C7" i="12"/>
  <c r="G47" i="3" l="1"/>
  <c r="F51" i="14"/>
  <c r="H46" i="14"/>
  <c r="H47" i="14" s="1"/>
  <c r="G51" i="14"/>
  <c r="H45" i="14"/>
  <c r="F47" i="13"/>
  <c r="G23" i="13" s="1"/>
  <c r="G29" i="13" s="1"/>
  <c r="G47" i="13" s="1"/>
  <c r="G47" i="14"/>
</calcChain>
</file>

<file path=xl/sharedStrings.xml><?xml version="1.0" encoding="utf-8"?>
<sst xmlns="http://schemas.openxmlformats.org/spreadsheetml/2006/main" count="577" uniqueCount="275">
  <si>
    <t>+</t>
  </si>
  <si>
    <t xml:space="preserve"> </t>
    <phoneticPr fontId="2" type="noConversion"/>
  </si>
  <si>
    <r>
      <rPr>
        <b/>
        <sz val="11"/>
        <color theme="1"/>
        <rFont val="华文楷体"/>
        <family val="3"/>
        <charset val="134"/>
      </rPr>
      <t>请不要改动这些数字</t>
    </r>
    <phoneticPr fontId="2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</si>
  <si>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</si>
  <si>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</si>
  <si>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2021</t>
    </r>
    <r>
      <rPr>
        <b/>
        <sz val="11"/>
        <color theme="1"/>
        <rFont val="华文楷体"/>
        <family val="3"/>
        <charset val="134"/>
      </rPr>
      <t>年</t>
    </r>
    <phoneticPr fontId="2" type="noConversion"/>
  </si>
  <si>
    <r>
      <rPr>
        <sz val="11"/>
        <color theme="1"/>
        <rFont val="华文楷体"/>
        <family val="3"/>
        <charset val="134"/>
      </rPr>
      <t>铝材</t>
    </r>
    <phoneticPr fontId="2" type="noConversion"/>
  </si>
  <si>
    <r>
      <rPr>
        <sz val="11"/>
        <color theme="1"/>
        <rFont val="华文楷体"/>
        <family val="3"/>
        <charset val="134"/>
      </rPr>
      <t>其他材料</t>
    </r>
    <phoneticPr fontId="2" type="noConversion"/>
  </si>
  <si>
    <r>
      <t>1</t>
    </r>
    <r>
      <rPr>
        <sz val="11"/>
        <color theme="1"/>
        <rFont val="华文楷体"/>
        <family val="3"/>
        <charset val="134"/>
      </rPr>
      <t>月</t>
    </r>
  </si>
  <si>
    <r>
      <t>2</t>
    </r>
    <r>
      <rPr>
        <sz val="11"/>
        <color theme="1"/>
        <rFont val="华文楷体"/>
        <family val="3"/>
        <charset val="134"/>
      </rPr>
      <t>月</t>
    </r>
  </si>
  <si>
    <r>
      <t>3</t>
    </r>
    <r>
      <rPr>
        <sz val="11"/>
        <color theme="1"/>
        <rFont val="华文楷体"/>
        <family val="3"/>
        <charset val="134"/>
      </rPr>
      <t>月</t>
    </r>
    <phoneticPr fontId="2" type="noConversion"/>
  </si>
  <si>
    <r>
      <t>4</t>
    </r>
    <r>
      <rPr>
        <sz val="11"/>
        <color theme="1"/>
        <rFont val="华文楷体"/>
        <family val="3"/>
        <charset val="134"/>
      </rPr>
      <t>月</t>
    </r>
  </si>
  <si>
    <r>
      <t>5</t>
    </r>
    <r>
      <rPr>
        <sz val="11"/>
        <color theme="1"/>
        <rFont val="华文楷体"/>
        <family val="3"/>
        <charset val="134"/>
      </rPr>
      <t>月</t>
    </r>
  </si>
  <si>
    <r>
      <t>6</t>
    </r>
    <r>
      <rPr>
        <sz val="11"/>
        <color theme="1"/>
        <rFont val="华文楷体"/>
        <family val="3"/>
        <charset val="134"/>
      </rPr>
      <t>月</t>
    </r>
  </si>
  <si>
    <r>
      <rPr>
        <sz val="11"/>
        <color theme="1"/>
        <rFont val="华文楷体"/>
        <family val="3"/>
        <charset val="134"/>
      </rPr>
      <t>销售与管理费用</t>
    </r>
    <phoneticPr fontId="2" type="noConversion"/>
  </si>
  <si>
    <r>
      <t>7</t>
    </r>
    <r>
      <rPr>
        <sz val="11"/>
        <color theme="1"/>
        <rFont val="华文楷体"/>
        <family val="3"/>
        <charset val="134"/>
      </rPr>
      <t>月</t>
    </r>
  </si>
  <si>
    <r>
      <t>8</t>
    </r>
    <r>
      <rPr>
        <sz val="11"/>
        <color theme="1"/>
        <rFont val="华文楷体"/>
        <family val="3"/>
        <charset val="134"/>
      </rPr>
      <t>月</t>
    </r>
  </si>
  <si>
    <r>
      <t>4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</si>
  <si>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6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</si>
  <si>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9</t>
    </r>
    <r>
      <rPr>
        <sz val="11"/>
        <color theme="1"/>
        <rFont val="华文楷体"/>
        <family val="3"/>
        <charset val="134"/>
      </rPr>
      <t>月</t>
    </r>
  </si>
  <si>
    <r>
      <t>10</t>
    </r>
    <r>
      <rPr>
        <sz val="11"/>
        <color theme="1"/>
        <rFont val="华文楷体"/>
        <family val="3"/>
        <charset val="134"/>
      </rPr>
      <t>月</t>
    </r>
  </si>
  <si>
    <r>
      <rPr>
        <sz val="11"/>
        <color theme="1"/>
        <rFont val="华文楷体"/>
        <family val="3"/>
        <charset val="134"/>
      </rPr>
      <t>其他材料</t>
    </r>
    <phoneticPr fontId="2" type="noConversion"/>
  </si>
  <si>
    <r>
      <t>11</t>
    </r>
    <r>
      <rPr>
        <sz val="11"/>
        <color theme="1"/>
        <rFont val="华文楷体"/>
        <family val="3"/>
        <charset val="134"/>
      </rPr>
      <t>月</t>
    </r>
  </si>
  <si>
    <r>
      <rPr>
        <sz val="11"/>
        <color theme="1"/>
        <rFont val="华文楷体"/>
        <family val="3"/>
        <charset val="134"/>
      </rPr>
      <t>工资</t>
    </r>
    <phoneticPr fontId="2" type="noConversion"/>
  </si>
  <si>
    <r>
      <t>12</t>
    </r>
    <r>
      <rPr>
        <sz val="11"/>
        <color theme="1"/>
        <rFont val="华文楷体"/>
        <family val="3"/>
        <charset val="134"/>
      </rPr>
      <t>月</t>
    </r>
  </si>
  <si>
    <r>
      <rPr>
        <sz val="11"/>
        <color theme="1"/>
        <rFont val="华文楷体"/>
        <family val="3"/>
        <charset val="134"/>
      </rPr>
      <t>申请的贷款额度</t>
    </r>
    <phoneticPr fontId="2" type="noConversion"/>
  </si>
  <si>
    <r>
      <rPr>
        <sz val="11"/>
        <color theme="1"/>
        <rFont val="华文楷体"/>
        <family val="3"/>
        <charset val="134"/>
      </rPr>
      <t>当月收回的应收账款的金额：</t>
    </r>
    <phoneticPr fontId="2" type="noConversion"/>
  </si>
  <si>
    <r>
      <rPr>
        <sz val="11"/>
        <color theme="1"/>
        <rFont val="华文楷体"/>
        <family val="3"/>
        <charset val="134"/>
      </rPr>
      <t>贷款期限（天）</t>
    </r>
    <phoneticPr fontId="2" type="noConversion"/>
  </si>
  <si>
    <r>
      <rPr>
        <sz val="11"/>
        <color theme="1"/>
        <rFont val="华文楷体"/>
        <family val="3"/>
        <charset val="134"/>
      </rPr>
      <t>本月销售额</t>
    </r>
    <phoneticPr fontId="2" type="noConversion"/>
  </si>
  <si>
    <r>
      <rPr>
        <sz val="11"/>
        <color theme="1"/>
        <rFont val="华文楷体"/>
        <family val="3"/>
        <charset val="134"/>
      </rPr>
      <t>第三个月销售额</t>
    </r>
    <phoneticPr fontId="2" type="noConversion"/>
  </si>
  <si>
    <r>
      <rPr>
        <sz val="11"/>
        <color theme="1"/>
        <rFont val="华文楷体"/>
        <family val="3"/>
        <charset val="134"/>
      </rPr>
      <t>铝材</t>
    </r>
    <phoneticPr fontId="2" type="noConversion"/>
  </si>
  <si>
    <r>
      <rPr>
        <sz val="11"/>
        <color theme="1"/>
        <rFont val="华文楷体"/>
        <family val="3"/>
        <charset val="134"/>
      </rPr>
      <t>工资</t>
    </r>
    <phoneticPr fontId="2" type="noConversion"/>
  </si>
  <si>
    <r>
      <t>3</t>
    </r>
    <r>
      <rPr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</si>
  <si>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当前完工产品数量</t>
    </r>
    <phoneticPr fontId="2" type="noConversion"/>
  </si>
  <si>
    <r>
      <rPr>
        <sz val="11"/>
        <color theme="1"/>
        <rFont val="华文楷体"/>
        <family val="3"/>
        <charset val="134"/>
      </rPr>
      <t>设备采购成本</t>
    </r>
    <phoneticPr fontId="2" type="noConversion"/>
  </si>
  <si>
    <r>
      <rPr>
        <sz val="11"/>
        <color theme="1"/>
        <rFont val="华文楷体"/>
        <family val="3"/>
        <charset val="134"/>
      </rPr>
      <t>月末持有的铝板数量</t>
    </r>
    <phoneticPr fontId="2" type="noConversion"/>
  </si>
  <si>
    <r>
      <rPr>
        <b/>
        <sz val="11"/>
        <color theme="1"/>
        <rFont val="华文楷体"/>
        <family val="3"/>
        <charset val="134"/>
      </rPr>
      <t>初始案例条件</t>
    </r>
    <phoneticPr fontId="2" type="noConversion"/>
  </si>
  <si>
    <r>
      <rPr>
        <sz val="11"/>
        <color theme="1"/>
        <rFont val="华文楷体"/>
        <family val="3"/>
        <charset val="134"/>
      </rPr>
      <t>供暖、照明和能源</t>
    </r>
    <phoneticPr fontId="2" type="noConversion"/>
  </si>
  <si>
    <r>
      <rPr>
        <sz val="11"/>
        <color theme="1"/>
        <rFont val="华文楷体"/>
        <family val="3"/>
        <charset val="134"/>
      </rPr>
      <t>设备租金</t>
    </r>
    <phoneticPr fontId="2" type="noConversion"/>
  </si>
  <si>
    <r>
      <rPr>
        <sz val="9.5"/>
        <color rgb="FF231F20"/>
        <rFont val="华文楷体"/>
        <family val="3"/>
        <charset val="134"/>
      </rPr>
      <t>旅行拖车</t>
    </r>
    <phoneticPr fontId="2" type="noConversion"/>
  </si>
  <si>
    <r>
      <rPr>
        <sz val="11"/>
        <color theme="1"/>
        <rFont val="华文楷体"/>
        <family val="3"/>
        <charset val="134"/>
      </rPr>
      <t>应付账款：其他材料</t>
    </r>
    <phoneticPr fontId="2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</si>
  <si>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</si>
  <si>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4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</si>
  <si>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每辆拖车需求量</t>
    </r>
    <phoneticPr fontId="2" type="noConversion"/>
  </si>
  <si>
    <r>
      <rPr>
        <b/>
        <sz val="11"/>
        <color theme="1"/>
        <rFont val="华文楷体"/>
        <family val="3"/>
        <charset val="134"/>
      </rPr>
      <t>实际和预算销售额</t>
    </r>
    <phoneticPr fontId="2" type="noConversion"/>
  </si>
  <si>
    <r>
      <rPr>
        <b/>
        <sz val="11"/>
        <color theme="1"/>
        <rFont val="华文楷体"/>
        <family val="3"/>
        <charset val="134"/>
      </rPr>
      <t>实际和预测销售额（单位：美元）</t>
    </r>
    <phoneticPr fontId="2" type="noConversion"/>
  </si>
  <si>
    <r>
      <rPr>
        <sz val="11"/>
        <color theme="1"/>
        <rFont val="华文楷体"/>
        <family val="3"/>
        <charset val="134"/>
      </rPr>
      <t>年份</t>
    </r>
    <phoneticPr fontId="2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</si>
  <si>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</si>
  <si>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3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</si>
  <si>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</t>
    </r>
    <phoneticPr fontId="2" type="noConversion"/>
  </si>
  <si>
    <r>
      <t>2021</t>
    </r>
    <r>
      <rPr>
        <b/>
        <sz val="11"/>
        <color theme="1"/>
        <rFont val="华文楷体"/>
        <family val="3"/>
        <charset val="134"/>
      </rPr>
      <t>年</t>
    </r>
    <phoneticPr fontId="2" type="noConversion"/>
  </si>
  <si>
    <r>
      <rPr>
        <sz val="11"/>
        <color theme="1"/>
        <rFont val="华文楷体"/>
        <family val="3"/>
        <charset val="134"/>
      </rPr>
      <t>实际销售额</t>
    </r>
    <phoneticPr fontId="2" type="noConversion"/>
  </si>
  <si>
    <r>
      <rPr>
        <b/>
        <sz val="9.5"/>
        <color rgb="FF231F20"/>
        <rFont val="华文楷体"/>
        <family val="3"/>
        <charset val="134"/>
      </rPr>
      <t>预测数</t>
    </r>
    <phoneticPr fontId="2" type="noConversion"/>
  </si>
  <si>
    <r>
      <rPr>
        <sz val="11"/>
        <color theme="1"/>
        <rFont val="华文楷体"/>
        <family val="3"/>
        <charset val="134"/>
      </rPr>
      <t>预测销售额</t>
    </r>
    <phoneticPr fontId="2" type="noConversion"/>
  </si>
  <si>
    <r>
      <rPr>
        <sz val="11"/>
        <color theme="1"/>
        <rFont val="华文楷体"/>
        <family val="3"/>
        <charset val="134"/>
      </rPr>
      <t>供暖、照明和能源</t>
    </r>
    <phoneticPr fontId="2" type="noConversion"/>
  </si>
  <si>
    <r>
      <rPr>
        <b/>
        <sz val="11"/>
        <color theme="1"/>
        <rFont val="华文楷体"/>
        <family val="3"/>
        <charset val="134"/>
      </rPr>
      <t>完工产品库存</t>
    </r>
    <phoneticPr fontId="2" type="noConversion"/>
  </si>
  <si>
    <r>
      <t>5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</si>
  <si>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6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</si>
  <si>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9.5"/>
        <color rgb="FF231F20"/>
        <rFont val="华文楷体"/>
        <family val="3"/>
        <charset val="134"/>
      </rPr>
      <t>次月销售额的百分比</t>
    </r>
    <phoneticPr fontId="2" type="noConversion"/>
  </si>
  <si>
    <r>
      <rPr>
        <b/>
        <sz val="11"/>
        <color theme="1"/>
        <rFont val="华文楷体"/>
        <family val="3"/>
        <charset val="134"/>
      </rPr>
      <t>铝板</t>
    </r>
    <phoneticPr fontId="2" type="noConversion"/>
  </si>
  <si>
    <r>
      <rPr>
        <sz val="9.5"/>
        <color rgb="FF231F20"/>
        <rFont val="华文楷体"/>
        <family val="3"/>
        <charset val="134"/>
      </rPr>
      <t>平方码</t>
    </r>
    <phoneticPr fontId="2" type="noConversion"/>
  </si>
  <si>
    <r>
      <rPr>
        <b/>
        <sz val="11"/>
        <color theme="1"/>
        <rFont val="华文楷体"/>
        <family val="3"/>
        <charset val="134"/>
      </rPr>
      <t>原材料库存</t>
    </r>
    <phoneticPr fontId="2" type="noConversion"/>
  </si>
  <si>
    <r>
      <rPr>
        <sz val="11"/>
        <color theme="1"/>
        <rFont val="华文楷体"/>
        <family val="3"/>
        <charset val="134"/>
      </rPr>
      <t>董事会要求的最低现金余额</t>
    </r>
    <phoneticPr fontId="2" type="noConversion"/>
  </si>
  <si>
    <r>
      <t>–</t>
    </r>
    <r>
      <rPr>
        <sz val="11"/>
        <color theme="1"/>
        <rFont val="华文楷体"/>
        <family val="3"/>
        <charset val="134"/>
      </rPr>
      <t>剩余为无法收回的金额</t>
    </r>
    <phoneticPr fontId="2" type="noConversion"/>
  </si>
  <si>
    <r>
      <rPr>
        <sz val="11"/>
        <color theme="1"/>
        <rFont val="华文楷体"/>
        <family val="3"/>
        <charset val="134"/>
      </rPr>
      <t>当月收回的应收账款的金额：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</si>
  <si>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</si>
  <si>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6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</si>
  <si>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9</t>
    </r>
    <phoneticPr fontId="2" type="noConversion"/>
  </si>
  <si>
    <r>
      <t>2021</t>
    </r>
    <r>
      <rPr>
        <b/>
        <sz val="11"/>
        <color theme="1"/>
        <rFont val="华文楷体"/>
        <family val="3"/>
        <charset val="134"/>
      </rPr>
      <t>年前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华文楷体"/>
        <family val="3"/>
        <charset val="134"/>
      </rPr>
      <t>个月的费用预算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</si>
  <si>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年实际销售量和</t>
    </r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华文楷体"/>
        <family val="3"/>
        <charset val="134"/>
      </rPr>
      <t>年预测销售量</t>
    </r>
    <phoneticPr fontId="2" type="noConversion"/>
  </si>
  <si>
    <r>
      <rPr>
        <b/>
        <sz val="9.5"/>
        <color rgb="FF231F20"/>
        <rFont val="华文楷体"/>
        <family val="3"/>
        <charset val="134"/>
      </rPr>
      <t>实际数</t>
    </r>
    <r>
      <rPr>
        <b/>
        <sz val="9.5"/>
        <color rgb="FF231F20"/>
        <rFont val="Times New Roman"/>
        <family val="1"/>
      </rPr>
      <t xml:space="preserve"> </t>
    </r>
    <phoneticPr fontId="2" type="noConversion"/>
  </si>
  <si>
    <r>
      <rPr>
        <sz val="11"/>
        <color theme="1"/>
        <rFont val="华文楷体"/>
        <family val="3"/>
        <charset val="134"/>
      </rPr>
      <t>预算数：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华文楷体"/>
        <family val="3"/>
        <charset val="134"/>
      </rPr>
      <t>日</t>
    </r>
    <phoneticPr fontId="2" type="noConversion"/>
  </si>
  <si>
    <r>
      <t>6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</si>
  <si>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当前完工产品数量</t>
    </r>
    <phoneticPr fontId="2" type="noConversion"/>
  </si>
  <si>
    <r>
      <rPr>
        <sz val="9.5"/>
        <color rgb="FF231F20"/>
        <rFont val="华文楷体"/>
        <family val="3"/>
        <charset val="134"/>
      </rPr>
      <t>旅行拖车</t>
    </r>
    <r>
      <rPr>
        <sz val="9.5"/>
        <color rgb="FF231F20"/>
        <rFont val="Times New Roman"/>
        <family val="1"/>
      </rPr>
      <t>*</t>
    </r>
    <r>
      <rPr>
        <sz val="9.5"/>
        <color rgb="FF231F20"/>
        <rFont val="华文楷体"/>
        <family val="3"/>
        <charset val="134"/>
      </rPr>
      <t>加上</t>
    </r>
    <phoneticPr fontId="2" type="noConversion"/>
  </si>
  <si>
    <r>
      <rPr>
        <sz val="11"/>
        <color theme="1"/>
        <rFont val="华文楷体"/>
        <family val="3"/>
        <charset val="134"/>
      </rPr>
      <t>铝材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</si>
  <si>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10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</si>
  <si>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</si>
  <si>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4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</si>
  <si>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</si>
  <si>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</si>
  <si>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5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</si>
  <si>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8</t>
    </r>
    <phoneticPr fontId="2" type="noConversion"/>
  </si>
  <si>
    <r>
      <rPr>
        <b/>
        <sz val="11"/>
        <color theme="1"/>
        <rFont val="华文楷体"/>
        <family val="3"/>
        <charset val="134"/>
      </rPr>
      <t>应收账款现金收款计划</t>
    </r>
    <phoneticPr fontId="2" type="noConversion"/>
  </si>
  <si>
    <r>
      <rPr>
        <sz val="9.5"/>
        <color rgb="FF231F20"/>
        <rFont val="华文楷体"/>
        <family val="3"/>
        <charset val="134"/>
      </rPr>
      <t>平方码</t>
    </r>
    <phoneticPr fontId="2" type="noConversion"/>
  </si>
  <si>
    <r>
      <rPr>
        <sz val="11"/>
        <color theme="1"/>
        <rFont val="华文楷体"/>
        <family val="3"/>
        <charset val="134"/>
      </rPr>
      <t>第三个月销售额</t>
    </r>
    <phoneticPr fontId="2" type="noConversion"/>
  </si>
  <si>
    <r>
      <t>–</t>
    </r>
    <r>
      <rPr>
        <sz val="11"/>
        <color theme="1"/>
        <rFont val="华文楷体"/>
        <family val="3"/>
        <charset val="134"/>
      </rPr>
      <t>剩余为无法收回的金额</t>
    </r>
    <phoneticPr fontId="2" type="noConversion"/>
  </si>
  <si>
    <r>
      <rPr>
        <b/>
        <sz val="11"/>
        <color theme="1"/>
        <rFont val="华文楷体"/>
        <family val="3"/>
        <charset val="134"/>
      </rPr>
      <t>建议的固定生产水平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</si>
  <si>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2</t>
    </r>
    <phoneticPr fontId="2" type="noConversion"/>
  </si>
  <si>
    <r>
      <rPr>
        <sz val="11"/>
        <color theme="1"/>
        <rFont val="华文楷体"/>
        <family val="3"/>
        <charset val="134"/>
      </rPr>
      <t>折旧</t>
    </r>
    <phoneticPr fontId="2" type="noConversion"/>
  </si>
  <si>
    <r>
      <t>5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</si>
  <si>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期末存货计算公式</t>
    </r>
    <phoneticPr fontId="2" type="noConversion"/>
  </si>
  <si>
    <r>
      <rPr>
        <sz val="11"/>
        <color theme="1"/>
        <rFont val="华文楷体"/>
        <family val="3"/>
        <charset val="134"/>
      </rPr>
      <t>其他材料</t>
    </r>
    <phoneticPr fontId="2" type="noConversion"/>
  </si>
  <si>
    <r>
      <rPr>
        <sz val="11"/>
        <color theme="1"/>
        <rFont val="华文楷体"/>
        <family val="3"/>
        <charset val="134"/>
      </rPr>
      <t>工资</t>
    </r>
    <phoneticPr fontId="2" type="noConversion"/>
  </si>
  <si>
    <r>
      <rPr>
        <sz val="11"/>
        <color theme="1"/>
        <rFont val="华文楷体"/>
        <family val="3"/>
        <charset val="134"/>
      </rPr>
      <t>拖车销售总量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</si>
  <si>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3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</si>
  <si>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10</t>
    </r>
    <phoneticPr fontId="2" type="noConversion"/>
  </si>
  <si>
    <r>
      <rPr>
        <sz val="11"/>
        <color theme="1"/>
        <rFont val="华文楷体"/>
        <family val="3"/>
        <charset val="134"/>
      </rPr>
      <t>销售与管理费用</t>
    </r>
    <phoneticPr fontId="2" type="noConversion"/>
  </si>
  <si>
    <r>
      <rPr>
        <sz val="11"/>
        <color theme="1"/>
        <rFont val="华文楷体"/>
        <family val="3"/>
        <charset val="134"/>
      </rPr>
      <t>春季单位成本（每平方码）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</si>
  <si>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华文楷体"/>
        <family val="3"/>
        <charset val="134"/>
      </rPr>
      <t>月（实际数）</t>
    </r>
    <phoneticPr fontId="2" type="noConversion"/>
  </si>
  <si>
    <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/1</t>
    </r>
    <r>
      <rPr>
        <sz val="11"/>
        <color theme="1"/>
        <rFont val="华文楷体"/>
        <family val="3"/>
        <charset val="134"/>
      </rPr>
      <t>月单位成本（每平方码）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</si>
  <si>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月（实际数）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</si>
  <si>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7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</si>
  <si>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</si>
  <si>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</t>
    </r>
    <r>
      <rPr>
        <b/>
        <sz val="11"/>
        <color theme="1"/>
        <rFont val="Times New Roman"/>
        <family val="1"/>
      </rPr>
      <t>12</t>
    </r>
    <r>
      <rPr>
        <b/>
        <sz val="11"/>
        <color theme="1"/>
        <rFont val="华文楷体"/>
        <family val="3"/>
        <charset val="134"/>
      </rPr>
      <t>月份铝板和其他材料采购形成的应付账款</t>
    </r>
    <phoneticPr fontId="2" type="noConversion"/>
  </si>
  <si>
    <r>
      <rPr>
        <b/>
        <sz val="11"/>
        <color theme="1"/>
        <rFont val="华文楷体"/>
        <family val="3"/>
        <charset val="134"/>
      </rPr>
      <t>铝板的预算成本</t>
    </r>
    <phoneticPr fontId="2" type="noConversion"/>
  </si>
  <si>
    <r>
      <rPr>
        <sz val="11"/>
        <color theme="1"/>
        <rFont val="华文楷体"/>
        <family val="3"/>
        <charset val="134"/>
      </rPr>
      <t>应付账款：铝材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</si>
  <si>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</si>
  <si>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sz val="11"/>
        <color theme="1"/>
        <rFont val="华文楷体"/>
        <family val="3"/>
        <charset val="134"/>
      </rPr>
      <t>单位成本（每平方码）</t>
    </r>
    <phoneticPr fontId="2" type="noConversion"/>
  </si>
  <si>
    <r>
      <rPr>
        <sz val="11"/>
        <color theme="1"/>
        <rFont val="华文楷体"/>
        <family val="3"/>
        <charset val="134"/>
      </rPr>
      <t>应付账款：其他材料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</si>
  <si>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</si>
  <si>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</si>
  <si>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11</t>
    </r>
    <phoneticPr fontId="2" type="noConversion"/>
  </si>
  <si>
    <r>
      <rPr>
        <b/>
        <sz val="11"/>
        <color theme="1"/>
        <rFont val="华文楷体"/>
        <family val="3"/>
        <charset val="134"/>
      </rPr>
      <t>银行贷款明细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华文楷体"/>
        <family val="3"/>
        <charset val="134"/>
      </rPr>
      <t>必要的最低现金余额</t>
    </r>
    <phoneticPr fontId="2" type="noConversion"/>
  </si>
  <si>
    <r>
      <rPr>
        <sz val="11"/>
        <color theme="1"/>
        <rFont val="华文楷体"/>
        <family val="3"/>
        <charset val="134"/>
      </rPr>
      <t>次月生产需求量的</t>
    </r>
    <r>
      <rPr>
        <sz val="11"/>
        <color theme="1"/>
        <rFont val="Times New Roman"/>
        <family val="1"/>
      </rPr>
      <t>50%</t>
    </r>
    <phoneticPr fontId="2" type="noConversion"/>
  </si>
  <si>
    <r>
      <rPr>
        <sz val="11"/>
        <color theme="1"/>
        <rFont val="华文楷体"/>
        <family val="3"/>
        <charset val="134"/>
      </rPr>
      <t>申请的贷款额度</t>
    </r>
    <phoneticPr fontId="2" type="noConversion"/>
  </si>
  <si>
    <r>
      <rPr>
        <sz val="11"/>
        <color theme="1"/>
        <rFont val="华文楷体"/>
        <family val="3"/>
        <charset val="134"/>
      </rPr>
      <t>次月销售额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</si>
  <si>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华文楷体"/>
        <family val="3"/>
        <charset val="134"/>
      </rPr>
      <t>日原材料持有量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</si>
  <si>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12</t>
    </r>
    <phoneticPr fontId="2" type="noConversion"/>
  </si>
  <si>
    <r>
      <rPr>
        <sz val="11"/>
        <color theme="1"/>
        <rFont val="华文楷体"/>
        <family val="3"/>
        <charset val="134"/>
      </rPr>
      <t>建议的生产水平</t>
    </r>
    <r>
      <rPr>
        <sz val="11"/>
        <color theme="1"/>
        <rFont val="Times New Roman"/>
        <family val="1"/>
      </rPr>
      <t>1</t>
    </r>
    <phoneticPr fontId="2" type="noConversion"/>
  </si>
  <si>
    <r>
      <rPr>
        <sz val="11"/>
        <color theme="1"/>
        <rFont val="华文楷体"/>
        <family val="3"/>
        <charset val="134"/>
      </rPr>
      <t>建议的生产水平</t>
    </r>
    <r>
      <rPr>
        <sz val="11"/>
        <color theme="1"/>
        <rFont val="Times New Roman"/>
        <family val="1"/>
      </rPr>
      <t>2</t>
    </r>
    <phoneticPr fontId="2" type="noConversion"/>
  </si>
  <si>
    <r>
      <rPr>
        <b/>
        <sz val="11"/>
        <color theme="1"/>
        <rFont val="华文楷体"/>
        <family val="3"/>
        <charset val="134"/>
      </rPr>
      <t>调整</t>
    </r>
    <phoneticPr fontId="2" type="noConversion"/>
  </si>
  <si>
    <r>
      <rPr>
        <sz val="11"/>
        <color theme="1"/>
        <rFont val="华文楷体"/>
        <family val="3"/>
        <charset val="134"/>
      </rPr>
      <t>其他材料</t>
    </r>
    <phoneticPr fontId="2" type="noConversion"/>
  </si>
  <si>
    <r>
      <rPr>
        <sz val="11"/>
        <color theme="1"/>
        <rFont val="华文楷体"/>
        <family val="3"/>
        <charset val="134"/>
      </rPr>
      <t>对所有的单位和成本金额按一个固定百分比进行变化</t>
    </r>
    <phoneticPr fontId="2" type="noConversion"/>
  </si>
  <si>
    <r>
      <rPr>
        <b/>
        <sz val="11"/>
        <color theme="1"/>
        <rFont val="华文楷体"/>
        <family val="3"/>
        <charset val="134"/>
      </rPr>
      <t>实际和预测销售额（单位：美元）</t>
    </r>
    <phoneticPr fontId="2" type="noConversion"/>
  </si>
  <si>
    <r>
      <rPr>
        <sz val="11"/>
        <color theme="1"/>
        <rFont val="华文楷体"/>
        <family val="3"/>
        <charset val="134"/>
      </rPr>
      <t>年份</t>
    </r>
    <phoneticPr fontId="2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</si>
  <si>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</si>
  <si>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3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</si>
  <si>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</t>
    </r>
    <phoneticPr fontId="2" type="noConversion"/>
  </si>
  <si>
    <r>
      <rPr>
        <sz val="11"/>
        <color theme="1"/>
        <rFont val="华文楷体"/>
        <family val="3"/>
        <charset val="134"/>
      </rPr>
      <t>实际销售额</t>
    </r>
    <phoneticPr fontId="2" type="noConversion"/>
  </si>
  <si>
    <r>
      <rPr>
        <b/>
        <sz val="9.5"/>
        <color rgb="FF231F20"/>
        <rFont val="华文楷体"/>
        <family val="3"/>
        <charset val="134"/>
      </rPr>
      <t>预测数</t>
    </r>
    <phoneticPr fontId="2" type="noConversion"/>
  </si>
  <si>
    <r>
      <rPr>
        <sz val="11"/>
        <color theme="1"/>
        <rFont val="华文楷体"/>
        <family val="3"/>
        <charset val="134"/>
      </rPr>
      <t>其他材料</t>
    </r>
    <phoneticPr fontId="2" type="noConversion"/>
  </si>
  <si>
    <r>
      <rPr>
        <sz val="11"/>
        <color theme="1"/>
        <rFont val="华文楷体"/>
        <family val="3"/>
        <charset val="134"/>
      </rPr>
      <t>输入增加的数字或减少的数字</t>
    </r>
    <phoneticPr fontId="2" type="noConversion"/>
  </si>
  <si>
    <r>
      <rPr>
        <sz val="11"/>
        <color theme="1"/>
        <rFont val="华文楷体"/>
        <family val="3"/>
        <charset val="134"/>
      </rPr>
      <t>工资</t>
    </r>
    <phoneticPr fontId="2" type="noConversion"/>
  </si>
  <si>
    <r>
      <rPr>
        <sz val="11"/>
        <color theme="1"/>
        <rFont val="华文楷体"/>
        <family val="3"/>
        <charset val="134"/>
      </rPr>
      <t>预测销售额</t>
    </r>
    <phoneticPr fontId="2" type="noConversion"/>
  </si>
  <si>
    <r>
      <rPr>
        <sz val="11"/>
        <color theme="1"/>
        <rFont val="华文楷体"/>
        <family val="3"/>
        <charset val="134"/>
      </rPr>
      <t>供暖、照明和能源</t>
    </r>
    <phoneticPr fontId="2" type="noConversion"/>
  </si>
  <si>
    <r>
      <rPr>
        <sz val="11"/>
        <color theme="1"/>
        <rFont val="华文楷体"/>
        <family val="3"/>
        <charset val="134"/>
      </rPr>
      <t>设备租金</t>
    </r>
    <phoneticPr fontId="2" type="noConversion"/>
  </si>
  <si>
    <r>
      <rPr>
        <sz val="11"/>
        <color theme="1"/>
        <rFont val="华文楷体"/>
        <family val="3"/>
        <charset val="134"/>
      </rPr>
      <t>设备采购成本</t>
    </r>
    <phoneticPr fontId="2" type="noConversion"/>
  </si>
  <si>
    <r>
      <t>5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</si>
  <si>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b/>
        <sz val="11"/>
        <color theme="1"/>
        <rFont val="华文楷体"/>
        <family val="3"/>
        <charset val="134"/>
      </rPr>
      <t>实际和预算销售额</t>
    </r>
    <phoneticPr fontId="2" type="noConversion"/>
  </si>
  <si>
    <r>
      <rPr>
        <sz val="11"/>
        <color theme="1"/>
        <rFont val="华文楷体"/>
        <family val="3"/>
        <charset val="134"/>
      </rPr>
      <t>春季单位成本（每平方码）</t>
    </r>
    <phoneticPr fontId="2" type="noConversion"/>
  </si>
  <si>
    <r>
      <rPr>
        <b/>
        <sz val="11"/>
        <color theme="1"/>
        <rFont val="华文楷体"/>
        <family val="3"/>
        <charset val="134"/>
      </rPr>
      <t>原材料库存</t>
    </r>
    <phoneticPr fontId="2" type="noConversion"/>
  </si>
  <si>
    <r>
      <rPr>
        <sz val="11"/>
        <color theme="1"/>
        <rFont val="华文楷体"/>
        <family val="3"/>
        <charset val="134"/>
      </rPr>
      <t>月末持有的铝板数量</t>
    </r>
    <phoneticPr fontId="2" type="noConversion"/>
  </si>
  <si>
    <r>
      <rPr>
        <sz val="11"/>
        <color theme="1"/>
        <rFont val="华文楷体"/>
        <family val="3"/>
        <charset val="134"/>
      </rPr>
      <t>贷款期限（天）</t>
    </r>
    <phoneticPr fontId="2" type="noConversion"/>
  </si>
  <si>
    <r>
      <rPr>
        <sz val="11"/>
        <color theme="1"/>
        <rFont val="华文楷体"/>
        <family val="3"/>
        <charset val="134"/>
      </rPr>
      <t>次月销售额</t>
    </r>
    <phoneticPr fontId="2" type="noConversion"/>
  </si>
  <si>
    <r>
      <rPr>
        <b/>
        <sz val="11"/>
        <color theme="1"/>
        <rFont val="华文楷体"/>
        <family val="3"/>
        <charset val="134"/>
      </rPr>
      <t>应收账款现金收款计划</t>
    </r>
    <phoneticPr fontId="2" type="noConversion"/>
  </si>
  <si>
    <r>
      <rPr>
        <sz val="11"/>
        <color theme="1"/>
        <rFont val="华文楷体"/>
        <family val="3"/>
        <charset val="134"/>
      </rPr>
      <t>本月销售额</t>
    </r>
    <phoneticPr fontId="2" type="noConversion"/>
  </si>
  <si>
    <r>
      <t>4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</si>
  <si>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每辆拖车需求量</t>
    </r>
    <phoneticPr fontId="2" type="noConversion"/>
  </si>
  <si>
    <r>
      <rPr>
        <sz val="11"/>
        <color theme="1"/>
        <rFont val="华文楷体"/>
        <family val="3"/>
        <charset val="134"/>
      </rPr>
      <t>应付账款：铝材</t>
    </r>
    <phoneticPr fontId="2" type="noConversion"/>
  </si>
  <si>
    <r>
      <rPr>
        <b/>
        <sz val="11"/>
        <color theme="1"/>
        <rFont val="华文楷体"/>
        <family val="3"/>
        <charset val="134"/>
      </rPr>
      <t>将这些表格发放给学生。你可以通过调整单元格数据或输入你自己的数字对数据进行改变。将这些表格复制并粘贴到学生的书中。</t>
    </r>
    <phoneticPr fontId="2" type="noConversion"/>
  </si>
  <si>
    <r>
      <rPr>
        <b/>
        <sz val="11"/>
        <color theme="1"/>
        <rFont val="华文楷体"/>
        <family val="3"/>
        <charset val="134"/>
      </rPr>
      <t>完工产品库存</t>
    </r>
    <phoneticPr fontId="2" type="noConversion"/>
  </si>
  <si>
    <r>
      <rPr>
        <sz val="11"/>
        <color theme="1"/>
        <rFont val="华文楷体"/>
        <family val="3"/>
        <charset val="134"/>
      </rPr>
      <t>铝材</t>
    </r>
    <phoneticPr fontId="2" type="noConversion"/>
  </si>
  <si>
    <r>
      <rPr>
        <sz val="11"/>
        <color theme="1"/>
        <rFont val="华文楷体"/>
        <family val="3"/>
        <charset val="134"/>
      </rPr>
      <t>期末存货计算公式</t>
    </r>
    <phoneticPr fontId="2" type="noConversion"/>
  </si>
  <si>
    <r>
      <rPr>
        <b/>
        <sz val="11"/>
        <color theme="1"/>
        <rFont val="华文楷体"/>
        <family val="3"/>
        <charset val="134"/>
      </rPr>
      <t>铝板</t>
    </r>
    <phoneticPr fontId="2" type="noConversion"/>
  </si>
  <si>
    <r>
      <rPr>
        <b/>
        <sz val="11"/>
        <color theme="1"/>
        <rFont val="华文楷体"/>
        <family val="3"/>
        <charset val="134"/>
      </rPr>
      <t>建议的固定生产水平</t>
    </r>
    <phoneticPr fontId="2" type="noConversion"/>
  </si>
  <si>
    <r>
      <rPr>
        <sz val="11"/>
        <color theme="1"/>
        <rFont val="华文楷体"/>
        <family val="3"/>
        <charset val="134"/>
      </rPr>
      <t>拖车销售总量</t>
    </r>
    <phoneticPr fontId="2" type="noConversion"/>
  </si>
  <si>
    <r>
      <rPr>
        <b/>
        <sz val="11"/>
        <color theme="1"/>
        <rFont val="华文楷体"/>
        <family val="3"/>
        <charset val="134"/>
      </rPr>
      <t>铝板的预算成本</t>
    </r>
    <phoneticPr fontId="2" type="noConversion"/>
  </si>
  <si>
    <r>
      <rPr>
        <sz val="11"/>
        <color theme="1"/>
        <rFont val="华文楷体"/>
        <family val="3"/>
        <charset val="134"/>
      </rPr>
      <t>单位成本（每平方码）</t>
    </r>
    <phoneticPr fontId="2" type="noConversion"/>
  </si>
  <si>
    <r>
      <rPr>
        <sz val="11"/>
        <color theme="1"/>
        <rFont val="华文楷体"/>
        <family val="3"/>
        <charset val="134"/>
      </rPr>
      <t>董事会要求的最低现金余额</t>
    </r>
    <phoneticPr fontId="2" type="noConversion"/>
  </si>
  <si>
    <r>
      <rPr>
        <b/>
        <sz val="9.5"/>
        <color rgb="FF231F20"/>
        <rFont val="华文楷体"/>
        <family val="3"/>
        <charset val="134"/>
      </rPr>
      <t>实际数</t>
    </r>
    <r>
      <rPr>
        <b/>
        <sz val="9.5"/>
        <color rgb="FF231F20"/>
        <rFont val="Times New Roman"/>
        <family val="1"/>
      </rPr>
      <t xml:space="preserve"> 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</si>
  <si>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</si>
  <si>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银行贷款明细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华文楷体"/>
        <family val="3"/>
        <charset val="134"/>
      </rPr>
      <t>必要的最低现金余额</t>
    </r>
    <phoneticPr fontId="2" type="noConversion"/>
  </si>
  <si>
    <r>
      <rPr>
        <b/>
        <sz val="11"/>
        <color theme="1"/>
        <rFont val="华文楷体"/>
        <family val="3"/>
        <charset val="134"/>
      </rPr>
      <t>学生文件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</si>
  <si>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</si>
  <si>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6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</si>
  <si>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9</t>
    </r>
    <phoneticPr fontId="2" type="noConversion"/>
  </si>
  <si>
    <r>
      <t>2021</t>
    </r>
    <r>
      <rPr>
        <b/>
        <sz val="11"/>
        <color theme="1"/>
        <rFont val="华文楷体"/>
        <family val="3"/>
        <charset val="134"/>
      </rPr>
      <t>年前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华文楷体"/>
        <family val="3"/>
        <charset val="134"/>
      </rPr>
      <t>个月的费用预算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</si>
  <si>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年实际销售量和</t>
    </r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华文楷体"/>
        <family val="3"/>
        <charset val="134"/>
      </rPr>
      <t>年预测销售量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</si>
  <si>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2</t>
    </r>
    <phoneticPr fontId="2" type="noConversion"/>
  </si>
  <si>
    <r>
      <rPr>
        <sz val="11"/>
        <color theme="1"/>
        <rFont val="华文楷体"/>
        <family val="3"/>
        <charset val="134"/>
      </rPr>
      <t>销售与管理费用</t>
    </r>
    <phoneticPr fontId="2" type="noConversion"/>
  </si>
  <si>
    <r>
      <rPr>
        <sz val="11"/>
        <color theme="1"/>
        <rFont val="华文楷体"/>
        <family val="3"/>
        <charset val="134"/>
      </rPr>
      <t>预算数：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华文楷体"/>
        <family val="3"/>
        <charset val="134"/>
      </rPr>
      <t>日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</si>
  <si>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3</t>
    </r>
    <phoneticPr fontId="2" type="noConversion"/>
  </si>
  <si>
    <r>
      <rPr>
        <sz val="11"/>
        <color theme="1"/>
        <rFont val="华文楷体"/>
        <family val="3"/>
        <charset val="134"/>
      </rPr>
      <t>折旧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</si>
  <si>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华文楷体"/>
        <family val="3"/>
        <charset val="134"/>
      </rPr>
      <t>月（实际数）</t>
    </r>
    <phoneticPr fontId="2" type="noConversion"/>
  </si>
  <si>
    <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/1</t>
    </r>
    <r>
      <rPr>
        <sz val="11"/>
        <color theme="1"/>
        <rFont val="华文楷体"/>
        <family val="3"/>
        <charset val="134"/>
      </rPr>
      <t>月单位成本（每平方码）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</si>
  <si>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月（实际数）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</si>
  <si>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7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</si>
  <si>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</si>
  <si>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</si>
  <si>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4</t>
    </r>
    <phoneticPr fontId="2" type="noConversion"/>
  </si>
  <si>
    <r>
      <t>2020</t>
    </r>
    <r>
      <rPr>
        <b/>
        <sz val="11"/>
        <color theme="1"/>
        <rFont val="华文楷体"/>
        <family val="3"/>
        <charset val="134"/>
      </rPr>
      <t>年</t>
    </r>
    <r>
      <rPr>
        <b/>
        <sz val="11"/>
        <color theme="1"/>
        <rFont val="Times New Roman"/>
        <family val="1"/>
      </rPr>
      <t>12</t>
    </r>
    <r>
      <rPr>
        <b/>
        <sz val="11"/>
        <color theme="1"/>
        <rFont val="华文楷体"/>
        <family val="3"/>
        <charset val="134"/>
      </rPr>
      <t>月份铝板和其他材料采购形成的应付账款</t>
    </r>
    <phoneticPr fontId="2" type="noConversion"/>
  </si>
  <si>
    <r>
      <t>2021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华文楷体"/>
        <family val="3"/>
        <charset val="134"/>
      </rPr>
      <t>月（预算数）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</si>
  <si>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5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</si>
  <si>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8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</si>
  <si>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11</t>
    </r>
    <phoneticPr fontId="2" type="noConversion"/>
  </si>
  <si>
    <r>
      <rPr>
        <sz val="11"/>
        <color theme="1"/>
        <rFont val="华文楷体"/>
        <family val="3"/>
        <charset val="134"/>
      </rPr>
      <t>次月生产需求量的</t>
    </r>
    <r>
      <rPr>
        <sz val="11"/>
        <color theme="1"/>
        <rFont val="Times New Roman"/>
        <family val="1"/>
      </rPr>
      <t>50%</t>
    </r>
    <phoneticPr fontId="2" type="noConversion"/>
  </si>
  <si>
    <r>
      <t>2020</t>
    </r>
    <r>
      <rPr>
        <sz val="11"/>
        <color theme="1"/>
        <rFont val="华文楷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华文楷体"/>
        <family val="3"/>
        <charset val="134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华文楷体"/>
        <family val="3"/>
        <charset val="134"/>
      </rPr>
      <t>日原材料持有量</t>
    </r>
    <phoneticPr fontId="2" type="noConversion"/>
  </si>
  <si>
    <r>
      <rPr>
        <sz val="9.5"/>
        <color rgb="FF231F20"/>
        <rFont val="华文楷体"/>
        <family val="3"/>
        <charset val="134"/>
      </rPr>
      <t>平方码</t>
    </r>
    <phoneticPr fontId="2" type="noConversion"/>
  </si>
  <si>
    <r>
      <rPr>
        <b/>
        <sz val="11"/>
        <color theme="1"/>
        <rFont val="华文楷体"/>
        <family val="3"/>
        <charset val="134"/>
      </rPr>
      <t>表</t>
    </r>
    <r>
      <rPr>
        <b/>
        <sz val="11"/>
        <color theme="1"/>
        <rFont val="Times New Roman"/>
        <family val="1"/>
      </rPr>
      <t>12</t>
    </r>
    <phoneticPr fontId="2" type="noConversion"/>
  </si>
  <si>
    <r>
      <rPr>
        <sz val="11"/>
        <color theme="1"/>
        <rFont val="华文楷体"/>
        <family val="3"/>
        <charset val="134"/>
      </rPr>
      <t>建议的生产水平</t>
    </r>
    <r>
      <rPr>
        <sz val="11"/>
        <color theme="1"/>
        <rFont val="Times New Roman"/>
        <family val="1"/>
      </rPr>
      <t>1</t>
    </r>
    <phoneticPr fontId="2" type="noConversion"/>
  </si>
  <si>
    <r>
      <rPr>
        <sz val="11"/>
        <color theme="1"/>
        <rFont val="华文楷体"/>
        <family val="3"/>
        <charset val="134"/>
      </rPr>
      <t>建议的生产水平</t>
    </r>
    <r>
      <rPr>
        <sz val="11"/>
        <color theme="1"/>
        <rFont val="Times New Roman"/>
        <family val="1"/>
      </rPr>
      <t>2</t>
    </r>
    <phoneticPr fontId="2" type="noConversion"/>
  </si>
  <si>
    <r>
      <t>1</t>
    </r>
    <r>
      <rPr>
        <b/>
        <sz val="7.5"/>
        <color rgb="FF000000"/>
        <rFont val="华文楷体"/>
        <family val="3"/>
        <charset val="134"/>
      </rPr>
      <t>月</t>
    </r>
  </si>
  <si>
    <r>
      <t>2</t>
    </r>
    <r>
      <rPr>
        <b/>
        <sz val="7.5"/>
        <color rgb="FF000000"/>
        <rFont val="华文楷体"/>
        <family val="3"/>
        <charset val="134"/>
      </rPr>
      <t>月</t>
    </r>
  </si>
  <si>
    <r>
      <t>3</t>
    </r>
    <r>
      <rPr>
        <b/>
        <sz val="7.5"/>
        <color rgb="FF000000"/>
        <rFont val="华文楷体"/>
        <family val="3"/>
        <charset val="134"/>
      </rPr>
      <t>月</t>
    </r>
  </si>
  <si>
    <r>
      <t>4</t>
    </r>
    <r>
      <rPr>
        <b/>
        <sz val="7.5"/>
        <color rgb="FF000000"/>
        <rFont val="华文楷体"/>
        <family val="3"/>
        <charset val="134"/>
      </rPr>
      <t>月</t>
    </r>
  </si>
  <si>
    <r>
      <t>6</t>
    </r>
    <r>
      <rPr>
        <b/>
        <sz val="7.5"/>
        <color rgb="FF000000"/>
        <rFont val="华文楷体"/>
        <family val="3"/>
        <charset val="134"/>
      </rPr>
      <t>月</t>
    </r>
  </si>
  <si>
    <r>
      <t>6</t>
    </r>
    <r>
      <rPr>
        <b/>
        <sz val="7.5"/>
        <color rgb="FF000000"/>
        <rFont val="华文楷体"/>
        <family val="3"/>
        <charset val="134"/>
      </rPr>
      <t>个月合计</t>
    </r>
  </si>
  <si>
    <r>
      <rPr>
        <b/>
        <sz val="11"/>
        <color theme="1"/>
        <rFont val="华文楷体"/>
        <family val="3"/>
        <charset val="134"/>
      </rPr>
      <t>采购预算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</si>
  <si>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</si>
  <si>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sz val="11"/>
        <color theme="1"/>
        <rFont val="华文楷体"/>
        <family val="3"/>
        <charset val="134"/>
      </rPr>
      <t>现金支出总额</t>
    </r>
    <phoneticPr fontId="2" type="noConversion"/>
  </si>
  <si>
    <r>
      <rPr>
        <b/>
        <sz val="11"/>
        <color theme="1"/>
        <rFont val="华文楷体"/>
        <family val="3"/>
        <charset val="134"/>
      </rPr>
      <t>生产预算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</si>
  <si>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采购预算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</si>
  <si>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生产预算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</si>
  <si>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</si>
  <si>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采购预算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</si>
  <si>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</si>
  <si>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</si>
  <si>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</si>
  <si>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生产预算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</si>
  <si>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采购预算</t>
    </r>
    <phoneticPr fontId="2" type="noConversion"/>
  </si>
  <si>
    <r>
      <rPr>
        <sz val="11"/>
        <color theme="1"/>
        <rFont val="华文楷体"/>
        <family val="3"/>
        <charset val="134"/>
      </rPr>
      <t>变动和混合成本调整</t>
    </r>
    <phoneticPr fontId="2" type="noConversion"/>
  </si>
  <si>
    <r>
      <t>3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</si>
  <si>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b/>
        <sz val="11"/>
        <color theme="1"/>
        <rFont val="华文楷体"/>
        <family val="3"/>
        <charset val="134"/>
      </rPr>
      <t>变动成本</t>
    </r>
    <phoneticPr fontId="2" type="noConversion"/>
  </si>
  <si>
    <r>
      <rPr>
        <b/>
        <sz val="11"/>
        <color theme="1"/>
        <rFont val="华文楷体"/>
        <family val="3"/>
        <charset val="134"/>
      </rPr>
      <t>固定成本</t>
    </r>
    <phoneticPr fontId="2" type="noConversion"/>
  </si>
  <si>
    <r>
      <rPr>
        <sz val="11"/>
        <color theme="1"/>
        <rFont val="华文楷体"/>
        <family val="3"/>
        <charset val="134"/>
      </rPr>
      <t>预计生产量</t>
    </r>
    <phoneticPr fontId="2" type="noConversion"/>
  </si>
  <si>
    <r>
      <rPr>
        <sz val="11"/>
        <color theme="1"/>
        <rFont val="华文楷体"/>
        <family val="3"/>
        <charset val="134"/>
      </rPr>
      <t>工资</t>
    </r>
    <phoneticPr fontId="2" type="noConversion"/>
  </si>
  <si>
    <r>
      <rPr>
        <sz val="11"/>
        <color theme="1"/>
        <rFont val="华文楷体"/>
        <family val="3"/>
        <charset val="134"/>
      </rPr>
      <t>供暖、照明和能源</t>
    </r>
    <phoneticPr fontId="2" type="noConversion"/>
  </si>
  <si>
    <r>
      <rPr>
        <b/>
        <sz val="11"/>
        <color theme="1"/>
        <rFont val="华文楷体"/>
        <family val="3"/>
        <charset val="134"/>
      </rPr>
      <t>生产预算</t>
    </r>
    <phoneticPr fontId="2" type="noConversion"/>
  </si>
  <si>
    <r>
      <rPr>
        <sz val="11"/>
        <color theme="1"/>
        <rFont val="华文楷体"/>
        <family val="3"/>
        <charset val="134"/>
      </rPr>
      <t>变动和混合成本调整</t>
    </r>
    <phoneticPr fontId="2" type="noConversion"/>
  </si>
  <si>
    <r>
      <t>1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</si>
  <si>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2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</si>
  <si>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4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</si>
  <si>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t>6</t>
    </r>
    <r>
      <rPr>
        <b/>
        <sz val="11"/>
        <color theme="1"/>
        <rFont val="华文楷体"/>
        <family val="3"/>
        <charset val="134"/>
      </rPr>
      <t>月</t>
    </r>
    <phoneticPr fontId="2" type="noConversion"/>
  </si>
  <si>
    <r>
      <rPr>
        <sz val="11"/>
        <color theme="1"/>
        <rFont val="华文楷体"/>
        <family val="3"/>
        <charset val="134"/>
      </rPr>
      <t>预计生产量</t>
    </r>
    <phoneticPr fontId="2" type="noConversion"/>
  </si>
  <si>
    <r>
      <rPr>
        <b/>
        <sz val="11"/>
        <color theme="1"/>
        <rFont val="华文楷体"/>
        <family val="3"/>
        <charset val="134"/>
      </rPr>
      <t>生产预算</t>
    </r>
    <phoneticPr fontId="2" type="noConversion"/>
  </si>
  <si>
    <r>
      <rPr>
        <b/>
        <sz val="11"/>
        <color theme="1"/>
        <rFont val="华文楷体"/>
        <family val="3"/>
        <charset val="134"/>
      </rPr>
      <t>现金预算</t>
    </r>
    <phoneticPr fontId="2" type="noConversion"/>
  </si>
  <si>
    <r>
      <rPr>
        <sz val="11"/>
        <color theme="1"/>
        <rFont val="华文楷体"/>
        <family val="3"/>
        <charset val="134"/>
      </rPr>
      <t>现金收款总额</t>
    </r>
    <phoneticPr fontId="2" type="noConversion"/>
  </si>
  <si>
    <t>预算销售量</t>
    <phoneticPr fontId="2" type="noConversion"/>
  </si>
  <si>
    <t>加上：必要的期末存货</t>
    <phoneticPr fontId="2" type="noConversion"/>
  </si>
  <si>
    <t>需求总量</t>
    <phoneticPr fontId="2" type="noConversion"/>
  </si>
  <si>
    <t>减去：期初存货</t>
    <phoneticPr fontId="2" type="noConversion"/>
  </si>
  <si>
    <t>拖车生产量</t>
    <phoneticPr fontId="2" type="noConversion"/>
  </si>
  <si>
    <r>
      <rPr>
        <b/>
        <sz val="11"/>
        <color theme="1"/>
        <rFont val="华文楷体"/>
        <family val="3"/>
        <charset val="134"/>
      </rPr>
      <t>拖车生产量</t>
    </r>
    <phoneticPr fontId="2" type="noConversion"/>
  </si>
  <si>
    <t>每辆拖车所需铝板数量</t>
    <phoneticPr fontId="2" type="noConversion"/>
  </si>
  <si>
    <r>
      <rPr>
        <sz val="11"/>
        <color theme="1"/>
        <rFont val="华文楷体"/>
        <family val="3"/>
        <charset val="134"/>
      </rPr>
      <t>生产总需求量</t>
    </r>
    <phoneticPr fontId="2" type="noConversion"/>
  </si>
  <si>
    <r>
      <rPr>
        <sz val="11"/>
        <color theme="1"/>
        <rFont val="华文楷体"/>
        <family val="3"/>
        <charset val="134"/>
      </rPr>
      <t>所需材料总额</t>
    </r>
    <phoneticPr fontId="2" type="noConversion"/>
  </si>
  <si>
    <r>
      <rPr>
        <b/>
        <sz val="11"/>
        <color theme="1"/>
        <rFont val="华文楷体"/>
        <family val="3"/>
        <charset val="134"/>
      </rPr>
      <t>减去：期初存货</t>
    </r>
    <phoneticPr fontId="2" type="noConversion"/>
  </si>
  <si>
    <r>
      <rPr>
        <sz val="11"/>
        <color theme="1"/>
        <rFont val="华文楷体"/>
        <family val="3"/>
        <charset val="134"/>
      </rPr>
      <t>铝板采购总量</t>
    </r>
    <phoneticPr fontId="2" type="noConversion"/>
  </si>
  <si>
    <t>单位成本（每平方码）</t>
    <phoneticPr fontId="2" type="noConversion"/>
  </si>
  <si>
    <t>成本总额</t>
    <phoneticPr fontId="2" type="noConversion"/>
  </si>
  <si>
    <r>
      <rPr>
        <b/>
        <sz val="11"/>
        <color theme="1"/>
        <rFont val="华文楷体"/>
        <family val="3"/>
        <charset val="134"/>
      </rPr>
      <t>期初现金余额</t>
    </r>
    <phoneticPr fontId="2" type="noConversion"/>
  </si>
  <si>
    <t>加上：现金收款</t>
    <phoneticPr fontId="2" type="noConversion"/>
  </si>
  <si>
    <r>
      <t xml:space="preserve">  </t>
    </r>
    <r>
      <rPr>
        <b/>
        <sz val="11"/>
        <color theme="1"/>
        <rFont val="华文楷体"/>
        <family val="3"/>
        <charset val="134"/>
      </rPr>
      <t>本月销售额</t>
    </r>
    <phoneticPr fontId="2" type="noConversion"/>
  </si>
  <si>
    <t xml:space="preserve">  次月销售额</t>
    <phoneticPr fontId="2" type="noConversion"/>
  </si>
  <si>
    <t xml:space="preserve"> 第三个月销售额</t>
    <phoneticPr fontId="2" type="noConversion"/>
  </si>
  <si>
    <r>
      <rPr>
        <sz val="11"/>
        <color theme="1"/>
        <rFont val="华文楷体"/>
        <family val="3"/>
        <charset val="134"/>
      </rPr>
      <t>现金收款总额</t>
    </r>
    <phoneticPr fontId="2" type="noConversion"/>
  </si>
  <si>
    <t>可用现金总额</t>
    <phoneticPr fontId="2" type="noConversion"/>
  </si>
  <si>
    <r>
      <rPr>
        <b/>
        <sz val="11"/>
        <color theme="1"/>
        <rFont val="华文楷体"/>
        <family val="3"/>
        <charset val="134"/>
      </rPr>
      <t>减去：现金支出</t>
    </r>
    <phoneticPr fontId="2" type="noConversion"/>
  </si>
  <si>
    <t xml:space="preserve">  铝材</t>
    <phoneticPr fontId="2" type="noConversion"/>
  </si>
  <si>
    <t xml:space="preserve">  其他材料</t>
    <phoneticPr fontId="2" type="noConversion"/>
  </si>
  <si>
    <t xml:space="preserve">  工资</t>
    <phoneticPr fontId="2" type="noConversion"/>
  </si>
  <si>
    <t xml:space="preserve">  供暖、照明和能源</t>
    <phoneticPr fontId="2" type="noConversion"/>
  </si>
  <si>
    <r>
      <t xml:space="preserve"> </t>
    </r>
    <r>
      <rPr>
        <b/>
        <sz val="11"/>
        <color theme="1"/>
        <rFont val="华文楷体"/>
        <family val="3"/>
        <charset val="134"/>
      </rPr>
      <t>设备租金</t>
    </r>
    <phoneticPr fontId="2" type="noConversion"/>
  </si>
  <si>
    <t xml:space="preserve"> 设备采购</t>
    <phoneticPr fontId="2" type="noConversion"/>
  </si>
  <si>
    <t xml:space="preserve">  销售和管理费用</t>
    <phoneticPr fontId="2" type="noConversion"/>
  </si>
  <si>
    <r>
      <rPr>
        <sz val="11"/>
        <color theme="1"/>
        <rFont val="华文楷体"/>
        <family val="3"/>
        <charset val="134"/>
      </rPr>
      <t>现金支出总额</t>
    </r>
    <phoneticPr fontId="2" type="noConversion"/>
  </si>
  <si>
    <r>
      <rPr>
        <b/>
        <sz val="11"/>
        <color theme="1"/>
        <rFont val="华文楷体"/>
        <family val="3"/>
        <charset val="134"/>
      </rPr>
      <t>融资：</t>
    </r>
    <phoneticPr fontId="2" type="noConversion"/>
  </si>
  <si>
    <t>借款：初始</t>
    <phoneticPr fontId="2" type="noConversion"/>
  </si>
  <si>
    <t>借款：新增</t>
    <phoneticPr fontId="2" type="noConversion"/>
  </si>
  <si>
    <t>还款</t>
    <phoneticPr fontId="2" type="noConversion"/>
  </si>
  <si>
    <t>利息费用</t>
    <phoneticPr fontId="2" type="noConversion"/>
  </si>
  <si>
    <r>
      <rPr>
        <b/>
        <sz val="11"/>
        <color theme="1"/>
        <rFont val="华文楷体"/>
        <family val="3"/>
        <charset val="134"/>
      </rPr>
      <t>待投资现金（盈余）</t>
    </r>
    <phoneticPr fontId="2" type="noConversion"/>
  </si>
  <si>
    <r>
      <rPr>
        <sz val="11"/>
        <color theme="1"/>
        <rFont val="华文楷体"/>
        <family val="3"/>
        <charset val="134"/>
      </rPr>
      <t>融资总额</t>
    </r>
    <phoneticPr fontId="2" type="noConversion"/>
  </si>
  <si>
    <r>
      <rPr>
        <sz val="11"/>
        <color theme="1"/>
        <rFont val="华文楷体"/>
        <family val="3"/>
        <charset val="134"/>
      </rPr>
      <t>期末现金余额</t>
    </r>
    <phoneticPr fontId="2" type="noConversion"/>
  </si>
  <si>
    <t>收入</t>
    <phoneticPr fontId="2" type="noConversion"/>
  </si>
  <si>
    <t>累计借款总额</t>
    <phoneticPr fontId="2" type="noConversion"/>
  </si>
  <si>
    <t>累计投资总额</t>
    <phoneticPr fontId="2" type="noConversion"/>
  </si>
  <si>
    <t>现金盈余（赤字）</t>
    <phoneticPr fontId="2" type="noConversion"/>
  </si>
  <si>
    <r>
      <t>5</t>
    </r>
    <r>
      <rPr>
        <b/>
        <sz val="7.5"/>
        <color rgb="FF000000"/>
        <rFont val="宋体"/>
        <family val="3"/>
        <charset val="134"/>
      </rPr>
      <t>月</t>
    </r>
    <phoneticPr fontId="2" type="noConversion"/>
  </si>
  <si>
    <r>
      <t>5</t>
    </r>
    <r>
      <rPr>
        <b/>
        <sz val="7.5"/>
        <color rgb="FF000000"/>
        <rFont val="华文楷体"/>
        <family val="3"/>
        <charset val="134"/>
      </rPr>
      <t>月</t>
    </r>
    <phoneticPr fontId="2" type="noConversion"/>
  </si>
  <si>
    <r>
      <t>5</t>
    </r>
    <r>
      <rPr>
        <b/>
        <sz val="7.5"/>
        <color rgb="FF000000"/>
        <rFont val="华文楷体"/>
        <family val="3"/>
        <charset val="134"/>
      </rPr>
      <t>月</t>
    </r>
    <phoneticPr fontId="2" type="noConversion"/>
  </si>
  <si>
    <r>
      <t>5</t>
    </r>
    <r>
      <rPr>
        <b/>
        <sz val="7.5"/>
        <color rgb="FF000000"/>
        <rFont val="华文楷体"/>
        <family val="3"/>
        <charset val="134"/>
      </rPr>
      <t>月</t>
    </r>
    <phoneticPr fontId="2" type="noConversion"/>
  </si>
  <si>
    <r>
      <t>5</t>
    </r>
    <r>
      <rPr>
        <b/>
        <sz val="7.5"/>
        <color rgb="FF000000"/>
        <rFont val="华文楷体"/>
        <family val="3"/>
        <charset val="134"/>
      </rPr>
      <t>月</t>
    </r>
    <phoneticPr fontId="2" type="noConversion"/>
  </si>
  <si>
    <r>
      <t>5</t>
    </r>
    <r>
      <rPr>
        <b/>
        <sz val="7.5"/>
        <color rgb="FF000000"/>
        <rFont val="华文楷体"/>
        <family val="3"/>
        <charset val="134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</si>
</sst>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* #,##0.0_);_(* \(#,##0.0\);_(* &quot;-&quot;??_);_(@_)"/>
    <numFmt numFmtId="180" formatCode="_(* #,##0_);_(* \(#,##0\);_(* &quot;-&quot;??_);_(@_)"/>
    <numFmt numFmtId="181" formatCode="0.0%"/>
    <numFmt numFmtId="182" formatCode="_(&quot;$&quot;* #,##0_);_(&quot;$&quot;* \(#,##0\);_(&quot;$&quot;* &quot;-&quot;??_);_(@_)"/>
    <numFmt numFmtId="183" formatCode="_([$$-409]* #,##0_);_([$$-409]* \(#,##0\);_([$$-409]* &quot;-&quot;??_);_(@_)"/>
    <numFmt numFmtId="184" formatCode="_(* #,##0_);_(* \(#,##0\);_(* &quot;-&quot;?_);_(@_)"/>
  </numFmts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7.5"/>
      <color rgb="FF000000"/>
      <name val="Times New Roman"/>
      <family val="1"/>
    </font>
    <font>
      <b/>
      <sz val="11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sz val="9.5"/>
      <color rgb="FF231F20"/>
      <name val="华文楷体"/>
      <family val="3"/>
      <charset val="134"/>
    </font>
    <font>
      <sz val="9.5"/>
      <color rgb="FF231F20"/>
      <name val="华文楷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.5"/>
      <color rgb="FF231F20"/>
      <name val="Times New Roman"/>
      <family val="1"/>
    </font>
    <font>
      <sz val="9.5"/>
      <color rgb="FF231F20"/>
      <name val="Times New Roman"/>
      <family val="1"/>
    </font>
    <font>
      <b/>
      <sz val="7.5"/>
      <color rgb="FF000000"/>
      <name val="华文楷体"/>
      <family val="3"/>
      <charset val="134"/>
    </font>
    <font>
      <b/>
      <sz val="7.5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9" fillId="0" borderId="0" xfId="0" applyFont="1"/>
    <xf numFmtId="0" fontId="8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4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4" xfId="0" applyFont="1" applyFill="1" applyBorder="1"/>
    <xf numFmtId="0" fontId="9" fillId="2" borderId="15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80" fontId="8" fillId="2" borderId="0" xfId="1" applyNumberFormat="1" applyFont="1" applyFill="1" applyBorder="1" applyAlignment="1">
      <alignment horizontal="center"/>
    </xf>
    <xf numFmtId="180" fontId="8" fillId="2" borderId="5" xfId="1" applyNumberFormat="1" applyFont="1" applyFill="1" applyBorder="1" applyAlignment="1">
      <alignment horizontal="center"/>
    </xf>
    <xf numFmtId="183" fontId="9" fillId="2" borderId="0" xfId="2" applyNumberFormat="1" applyFont="1" applyFill="1" applyBorder="1"/>
    <xf numFmtId="183" fontId="9" fillId="2" borderId="5" xfId="2" applyNumberFormat="1" applyFont="1" applyFill="1" applyBorder="1"/>
    <xf numFmtId="0" fontId="9" fillId="4" borderId="0" xfId="0" applyFont="1" applyFill="1" applyBorder="1"/>
    <xf numFmtId="180" fontId="8" fillId="4" borderId="0" xfId="1" applyNumberFormat="1" applyFont="1" applyFill="1" applyBorder="1" applyAlignment="1">
      <alignment horizontal="center"/>
    </xf>
    <xf numFmtId="0" fontId="9" fillId="4" borderId="5" xfId="0" applyFont="1" applyFill="1" applyBorder="1"/>
    <xf numFmtId="180" fontId="9" fillId="2" borderId="0" xfId="1" applyNumberFormat="1" applyFont="1" applyFill="1" applyBorder="1"/>
    <xf numFmtId="180" fontId="9" fillId="2" borderId="5" xfId="1" applyNumberFormat="1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180" fontId="8" fillId="2" borderId="7" xfId="1" applyNumberFormat="1" applyFont="1" applyFill="1" applyBorder="1"/>
    <xf numFmtId="0" fontId="9" fillId="0" borderId="0" xfId="0" applyFont="1" applyAlignment="1">
      <alignment horizontal="right"/>
    </xf>
    <xf numFmtId="180" fontId="9" fillId="2" borderId="15" xfId="1" applyNumberFormat="1" applyFont="1" applyFill="1" applyBorder="1"/>
    <xf numFmtId="180" fontId="9" fillId="2" borderId="25" xfId="1" applyNumberFormat="1" applyFont="1" applyFill="1" applyBorder="1"/>
    <xf numFmtId="0" fontId="11" fillId="0" borderId="0" xfId="0" applyFont="1"/>
    <xf numFmtId="0" fontId="9" fillId="4" borderId="4" xfId="0" applyFont="1" applyFill="1" applyBorder="1"/>
    <xf numFmtId="180" fontId="8" fillId="2" borderId="0" xfId="1" applyNumberFormat="1" applyFont="1" applyFill="1" applyBorder="1"/>
    <xf numFmtId="182" fontId="9" fillId="2" borderId="0" xfId="2" applyNumberFormat="1" applyFont="1" applyFill="1" applyBorder="1"/>
    <xf numFmtId="182" fontId="9" fillId="2" borderId="5" xfId="2" applyNumberFormat="1" applyFont="1" applyFill="1" applyBorder="1"/>
    <xf numFmtId="0" fontId="8" fillId="2" borderId="7" xfId="0" applyFont="1" applyFill="1" applyBorder="1" applyAlignment="1">
      <alignment horizontal="right"/>
    </xf>
    <xf numFmtId="9" fontId="8" fillId="2" borderId="7" xfId="3" applyFont="1" applyFill="1" applyBorder="1"/>
    <xf numFmtId="0" fontId="11" fillId="0" borderId="7" xfId="0" applyFont="1" applyBorder="1"/>
    <xf numFmtId="180" fontId="8" fillId="2" borderId="8" xfId="1" applyNumberFormat="1" applyFont="1" applyFill="1" applyBorder="1"/>
    <xf numFmtId="179" fontId="8" fillId="2" borderId="0" xfId="1" applyNumberFormat="1" applyFont="1" applyFill="1" applyBorder="1"/>
    <xf numFmtId="180" fontId="9" fillId="2" borderId="7" xfId="1" applyNumberFormat="1" applyFont="1" applyFill="1" applyBorder="1"/>
    <xf numFmtId="180" fontId="9" fillId="2" borderId="8" xfId="1" applyNumberFormat="1" applyFont="1" applyFill="1" applyBorder="1"/>
    <xf numFmtId="178" fontId="8" fillId="2" borderId="0" xfId="2" applyFont="1" applyFill="1" applyBorder="1"/>
    <xf numFmtId="178" fontId="8" fillId="2" borderId="7" xfId="2" applyFont="1" applyFill="1" applyBorder="1"/>
    <xf numFmtId="0" fontId="8" fillId="2" borderId="4" xfId="0" applyFont="1" applyFill="1" applyBorder="1"/>
    <xf numFmtId="183" fontId="9" fillId="2" borderId="7" xfId="0" applyNumberFormat="1" applyFont="1" applyFill="1" applyBorder="1"/>
    <xf numFmtId="182" fontId="8" fillId="2" borderId="0" xfId="2" applyNumberFormat="1" applyFont="1" applyFill="1" applyBorder="1"/>
    <xf numFmtId="178" fontId="8" fillId="2" borderId="6" xfId="2" applyFont="1" applyFill="1" applyBorder="1"/>
    <xf numFmtId="182" fontId="8" fillId="2" borderId="7" xfId="2" applyNumberFormat="1" applyFont="1" applyFill="1" applyBorder="1"/>
    <xf numFmtId="182" fontId="9" fillId="2" borderId="8" xfId="2" applyNumberFormat="1" applyFont="1" applyFill="1" applyBorder="1"/>
    <xf numFmtId="181" fontId="8" fillId="2" borderId="0" xfId="3" applyNumberFormat="1" applyFont="1" applyFill="1" applyBorder="1"/>
    <xf numFmtId="182" fontId="8" fillId="2" borderId="5" xfId="2" applyNumberFormat="1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180" fontId="8" fillId="2" borderId="5" xfId="1" applyNumberFormat="1" applyFont="1" applyFill="1" applyBorder="1"/>
    <xf numFmtId="9" fontId="8" fillId="2" borderId="5" xfId="3" applyNumberFormat="1" applyFont="1" applyFill="1" applyBorder="1"/>
    <xf numFmtId="0" fontId="9" fillId="2" borderId="0" xfId="0" applyFont="1" applyFill="1"/>
    <xf numFmtId="182" fontId="8" fillId="2" borderId="8" xfId="2" applyNumberFormat="1" applyFont="1" applyFill="1" applyBorder="1"/>
    <xf numFmtId="181" fontId="9" fillId="2" borderId="8" xfId="3" applyNumberFormat="1" applyFont="1" applyFill="1" applyBorder="1"/>
    <xf numFmtId="0" fontId="9" fillId="0" borderId="0" xfId="0" applyFont="1" applyBorder="1"/>
    <xf numFmtId="0" fontId="8" fillId="0" borderId="0" xfId="0" applyFont="1" applyAlignment="1">
      <alignment horizontal="center"/>
    </xf>
    <xf numFmtId="9" fontId="9" fillId="0" borderId="20" xfId="3" applyFont="1" applyBorder="1" applyAlignment="1">
      <alignment horizontal="center"/>
    </xf>
    <xf numFmtId="0" fontId="9" fillId="0" borderId="0" xfId="0" applyFont="1" applyAlignment="1">
      <alignment horizontal="center"/>
    </xf>
    <xf numFmtId="180" fontId="8" fillId="2" borderId="7" xfId="1" applyNumberFormat="1" applyFont="1" applyFill="1" applyBorder="1" applyAlignment="1">
      <alignment horizontal="center"/>
    </xf>
    <xf numFmtId="180" fontId="8" fillId="2" borderId="2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178" fontId="8" fillId="2" borderId="0" xfId="2" applyFont="1" applyFill="1" applyBorder="1" applyAlignment="1">
      <alignment horizontal="center"/>
    </xf>
    <xf numFmtId="178" fontId="8" fillId="2" borderId="7" xfId="2" applyFont="1" applyFill="1" applyBorder="1" applyAlignment="1">
      <alignment horizontal="center"/>
    </xf>
    <xf numFmtId="0" fontId="9" fillId="2" borderId="30" xfId="0" applyFont="1" applyFill="1" applyBorder="1"/>
    <xf numFmtId="0" fontId="8" fillId="0" borderId="14" xfId="0" applyFont="1" applyBorder="1"/>
    <xf numFmtId="0" fontId="8" fillId="0" borderId="0" xfId="0" applyFont="1"/>
    <xf numFmtId="176" fontId="9" fillId="0" borderId="0" xfId="0" applyNumberFormat="1" applyFont="1" applyBorder="1"/>
    <xf numFmtId="176" fontId="9" fillId="0" borderId="0" xfId="0" applyNumberFormat="1" applyFont="1" applyFill="1" applyBorder="1"/>
    <xf numFmtId="176" fontId="9" fillId="0" borderId="13" xfId="0" applyNumberFormat="1" applyFont="1" applyBorder="1"/>
    <xf numFmtId="176" fontId="9" fillId="0" borderId="15" xfId="0" applyNumberFormat="1" applyFont="1" applyBorder="1"/>
    <xf numFmtId="176" fontId="9" fillId="0" borderId="16" xfId="0" applyNumberFormat="1" applyFont="1" applyBorder="1"/>
    <xf numFmtId="176" fontId="8" fillId="0" borderId="10" xfId="0" applyNumberFormat="1" applyFont="1" applyBorder="1"/>
    <xf numFmtId="176" fontId="8" fillId="0" borderId="11" xfId="0" applyNumberFormat="1" applyFont="1" applyBorder="1"/>
    <xf numFmtId="176" fontId="8" fillId="0" borderId="15" xfId="0" applyNumberFormat="1" applyFont="1" applyBorder="1"/>
    <xf numFmtId="176" fontId="8" fillId="0" borderId="16" xfId="0" applyNumberFormat="1" applyFont="1" applyBorder="1"/>
    <xf numFmtId="0" fontId="9" fillId="0" borderId="15" xfId="0" applyFont="1" applyBorder="1"/>
    <xf numFmtId="0" fontId="9" fillId="0" borderId="16" xfId="0" applyFont="1" applyBorder="1"/>
    <xf numFmtId="176" fontId="8" fillId="0" borderId="0" xfId="0" applyNumberFormat="1" applyFont="1" applyBorder="1"/>
    <xf numFmtId="176" fontId="8" fillId="0" borderId="13" xfId="0" applyNumberFormat="1" applyFont="1" applyBorder="1"/>
    <xf numFmtId="184" fontId="9" fillId="0" borderId="15" xfId="0" applyNumberFormat="1" applyFont="1" applyBorder="1"/>
    <xf numFmtId="184" fontId="9" fillId="0" borderId="16" xfId="0" applyNumberFormat="1" applyFont="1" applyBorder="1"/>
    <xf numFmtId="0" fontId="8" fillId="0" borderId="17" xfId="0" applyFont="1" applyBorder="1"/>
    <xf numFmtId="180" fontId="9" fillId="0" borderId="15" xfId="1" applyNumberFormat="1" applyFont="1" applyBorder="1"/>
    <xf numFmtId="180" fontId="9" fillId="0" borderId="16" xfId="0" applyNumberFormat="1" applyFont="1" applyBorder="1"/>
    <xf numFmtId="182" fontId="9" fillId="0" borderId="15" xfId="2" applyNumberFormat="1" applyFont="1" applyBorder="1"/>
    <xf numFmtId="182" fontId="9" fillId="0" borderId="16" xfId="2" applyNumberFormat="1" applyFont="1" applyBorder="1"/>
    <xf numFmtId="182" fontId="8" fillId="0" borderId="15" xfId="2" applyNumberFormat="1" applyFont="1" applyBorder="1"/>
    <xf numFmtId="182" fontId="8" fillId="0" borderId="16" xfId="2" applyNumberFormat="1" applyFont="1" applyBorder="1"/>
    <xf numFmtId="182" fontId="9" fillId="0" borderId="0" xfId="2" applyNumberFormat="1" applyFont="1" applyBorder="1"/>
    <xf numFmtId="182" fontId="9" fillId="0" borderId="13" xfId="2" applyNumberFormat="1" applyFont="1" applyBorder="1"/>
    <xf numFmtId="182" fontId="8" fillId="0" borderId="18" xfId="2" applyNumberFormat="1" applyFont="1" applyBorder="1"/>
    <xf numFmtId="182" fontId="8" fillId="0" borderId="19" xfId="2" applyNumberFormat="1" applyFont="1" applyBorder="1"/>
    <xf numFmtId="182" fontId="9" fillId="0" borderId="18" xfId="0" applyNumberFormat="1" applyFont="1" applyBorder="1"/>
    <xf numFmtId="182" fontId="9" fillId="0" borderId="19" xfId="0" applyNumberFormat="1" applyFont="1" applyBorder="1"/>
    <xf numFmtId="0" fontId="9" fillId="0" borderId="13" xfId="0" applyFont="1" applyBorder="1"/>
    <xf numFmtId="182" fontId="9" fillId="0" borderId="0" xfId="0" applyNumberFormat="1" applyFont="1" applyBorder="1"/>
    <xf numFmtId="182" fontId="9" fillId="0" borderId="13" xfId="0" applyNumberFormat="1" applyFont="1" applyBorder="1"/>
    <xf numFmtId="180" fontId="9" fillId="0" borderId="0" xfId="1" applyNumberFormat="1" applyFont="1" applyBorder="1"/>
    <xf numFmtId="180" fontId="9" fillId="0" borderId="0" xfId="1" applyNumberFormat="1" applyFont="1" applyFill="1" applyBorder="1"/>
    <xf numFmtId="180" fontId="9" fillId="0" borderId="13" xfId="1" applyNumberFormat="1" applyFont="1" applyBorder="1"/>
    <xf numFmtId="180" fontId="9" fillId="0" borderId="16" xfId="1" applyNumberFormat="1" applyFont="1" applyBorder="1"/>
    <xf numFmtId="182" fontId="9" fillId="0" borderId="19" xfId="2" applyNumberFormat="1" applyFont="1" applyBorder="1"/>
    <xf numFmtId="17" fontId="9" fillId="0" borderId="0" xfId="0" applyNumberFormat="1" applyFont="1"/>
    <xf numFmtId="178" fontId="9" fillId="0" borderId="0" xfId="2" applyFont="1"/>
    <xf numFmtId="182" fontId="8" fillId="0" borderId="19" xfId="0" applyNumberFormat="1" applyFont="1" applyBorder="1"/>
    <xf numFmtId="182" fontId="8" fillId="0" borderId="15" xfId="0" applyNumberFormat="1" applyFont="1" applyBorder="1"/>
    <xf numFmtId="182" fontId="8" fillId="0" borderId="16" xfId="0" applyNumberFormat="1" applyFont="1" applyBorder="1"/>
    <xf numFmtId="177" fontId="9" fillId="0" borderId="0" xfId="1" applyFont="1" applyBorder="1"/>
    <xf numFmtId="177" fontId="9" fillId="0" borderId="13" xfId="1" applyFont="1" applyBorder="1"/>
    <xf numFmtId="177" fontId="9" fillId="0" borderId="0" xfId="1" applyFont="1"/>
    <xf numFmtId="177" fontId="9" fillId="0" borderId="15" xfId="1" applyFont="1" applyBorder="1"/>
    <xf numFmtId="178" fontId="9" fillId="0" borderId="10" xfId="2" applyFont="1" applyBorder="1"/>
    <xf numFmtId="178" fontId="9" fillId="0" borderId="11" xfId="2" applyFont="1" applyBorder="1"/>
    <xf numFmtId="178" fontId="9" fillId="0" borderId="0" xfId="0" applyNumberFormat="1" applyFont="1"/>
    <xf numFmtId="178" fontId="9" fillId="0" borderId="0" xfId="2" applyFont="1" applyBorder="1"/>
    <xf numFmtId="178" fontId="9" fillId="0" borderId="13" xfId="2" applyFont="1" applyBorder="1"/>
    <xf numFmtId="182" fontId="9" fillId="0" borderId="15" xfId="0" applyNumberFormat="1" applyFont="1" applyBorder="1"/>
    <xf numFmtId="182" fontId="9" fillId="0" borderId="16" xfId="0" applyNumberFormat="1" applyFont="1" applyBorder="1"/>
    <xf numFmtId="182" fontId="9" fillId="0" borderId="0" xfId="0" applyNumberFormat="1" applyFont="1"/>
    <xf numFmtId="0" fontId="8" fillId="0" borderId="15" xfId="0" applyFont="1" applyBorder="1"/>
    <xf numFmtId="0" fontId="8" fillId="0" borderId="28" xfId="0" applyFont="1" applyBorder="1"/>
    <xf numFmtId="0" fontId="8" fillId="0" borderId="13" xfId="0" applyFont="1" applyBorder="1"/>
    <xf numFmtId="0" fontId="9" fillId="0" borderId="17" xfId="0" applyFont="1" applyBorder="1"/>
    <xf numFmtId="176" fontId="9" fillId="0" borderId="18" xfId="0" applyNumberFormat="1" applyFont="1" applyBorder="1"/>
    <xf numFmtId="0" fontId="9" fillId="0" borderId="19" xfId="0" applyFont="1" applyBorder="1"/>
    <xf numFmtId="0" fontId="9" fillId="0" borderId="12" xfId="0" applyFont="1" applyBorder="1"/>
    <xf numFmtId="178" fontId="9" fillId="0" borderId="28" xfId="2" applyFont="1" applyBorder="1"/>
    <xf numFmtId="0" fontId="9" fillId="0" borderId="14" xfId="0" applyFont="1" applyBorder="1"/>
    <xf numFmtId="178" fontId="9" fillId="0" borderId="29" xfId="2" applyFont="1" applyBorder="1"/>
    <xf numFmtId="176" fontId="9" fillId="0" borderId="14" xfId="0" applyNumberFormat="1" applyFont="1" applyBorder="1"/>
    <xf numFmtId="178" fontId="9" fillId="0" borderId="15" xfId="2" applyFont="1" applyBorder="1"/>
    <xf numFmtId="178" fontId="9" fillId="0" borderId="16" xfId="2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176" fontId="5" fillId="0" borderId="0" xfId="0" applyNumberFormat="1" applyFont="1" applyBorder="1"/>
    <xf numFmtId="176" fontId="5" fillId="0" borderId="15" xfId="0" applyNumberFormat="1" applyFont="1" applyBorder="1"/>
    <xf numFmtId="176" fontId="4" fillId="0" borderId="10" xfId="0" applyNumberFormat="1" applyFont="1" applyBorder="1"/>
    <xf numFmtId="176" fontId="4" fillId="0" borderId="15" xfId="0" applyNumberFormat="1" applyFont="1" applyBorder="1"/>
    <xf numFmtId="0" fontId="5" fillId="0" borderId="0" xfId="0" applyFont="1"/>
    <xf numFmtId="0" fontId="5" fillId="0" borderId="15" xfId="0" applyFont="1" applyBorder="1"/>
    <xf numFmtId="176" fontId="4" fillId="0" borderId="0" xfId="0" applyNumberFormat="1" applyFont="1" applyBorder="1"/>
    <xf numFmtId="184" fontId="5" fillId="0" borderId="15" xfId="0" applyNumberFormat="1" applyFont="1" applyBorder="1"/>
    <xf numFmtId="180" fontId="5" fillId="0" borderId="15" xfId="1" applyNumberFormat="1" applyFont="1" applyBorder="1"/>
    <xf numFmtId="182" fontId="5" fillId="0" borderId="15" xfId="2" applyNumberFormat="1" applyFont="1" applyBorder="1"/>
    <xf numFmtId="182" fontId="4" fillId="0" borderId="15" xfId="2" applyNumberFormat="1" applyFont="1" applyBorder="1"/>
    <xf numFmtId="182" fontId="5" fillId="0" borderId="0" xfId="2" applyNumberFormat="1" applyFont="1" applyBorder="1"/>
    <xf numFmtId="177" fontId="5" fillId="0" borderId="0" xfId="1" applyFont="1" applyBorder="1"/>
    <xf numFmtId="182" fontId="4" fillId="0" borderId="18" xfId="2" applyNumberFormat="1" applyFont="1" applyBorder="1"/>
    <xf numFmtId="182" fontId="5" fillId="0" borderId="18" xfId="0" applyNumberFormat="1" applyFont="1" applyBorder="1"/>
    <xf numFmtId="0" fontId="5" fillId="0" borderId="0" xfId="0" applyFont="1" applyBorder="1"/>
    <xf numFmtId="182" fontId="5" fillId="0" borderId="0" xfId="0" applyNumberFormat="1" applyFont="1" applyBorder="1"/>
    <xf numFmtId="180" fontId="5" fillId="0" borderId="0" xfId="1" applyNumberFormat="1" applyFont="1" applyBorder="1"/>
    <xf numFmtId="177" fontId="5" fillId="0" borderId="0" xfId="1" applyFont="1"/>
    <xf numFmtId="177" fontId="5" fillId="0" borderId="15" xfId="1" applyFont="1" applyBorder="1"/>
    <xf numFmtId="182" fontId="4" fillId="0" borderId="15" xfId="0" applyNumberFormat="1" applyFont="1" applyBorder="1"/>
    <xf numFmtId="0" fontId="5" fillId="0" borderId="9" xfId="0" applyFont="1" applyBorder="1"/>
    <xf numFmtId="17" fontId="5" fillId="0" borderId="12" xfId="0" applyNumberFormat="1" applyFont="1" applyBorder="1"/>
    <xf numFmtId="17" fontId="5" fillId="0" borderId="14" xfId="0" applyNumberFormat="1" applyFont="1" applyBorder="1"/>
    <xf numFmtId="17" fontId="5" fillId="0" borderId="0" xfId="0" applyNumberFormat="1" applyFont="1"/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2" borderId="15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176" fontId="5" fillId="0" borderId="9" xfId="0" applyNumberFormat="1" applyFont="1" applyBorder="1"/>
    <xf numFmtId="176" fontId="5" fillId="0" borderId="14" xfId="0" applyNumberFormat="1" applyFont="1" applyBorder="1"/>
    <xf numFmtId="176" fontId="4" fillId="0" borderId="9" xfId="0" applyNumberFormat="1" applyFont="1" applyBorder="1"/>
    <xf numFmtId="176" fontId="4" fillId="0" borderId="14" xfId="0" applyNumberFormat="1" applyFont="1" applyBorder="1"/>
    <xf numFmtId="0" fontId="5" fillId="0" borderId="33" xfId="0" applyFont="1" applyBorder="1"/>
  </cellXfs>
  <cellStyles count="4">
    <cellStyle name="百分比" xfId="3" builtinId="5"/>
    <cellStyle name="常规" xfId="0" builtinId="0"/>
    <cellStyle name="货币" xfId="2" builtin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aseline="0"/>
              <a:t>拖车生产量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数据可视化!$A$2:$F$2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数据可视化!$A$3:$F$3</c:f>
              <c:numCache>
                <c:formatCode>_(* #,##0_);_(* \(#,##0\);_(* "-"_);_(@_)</c:formatCode>
                <c:ptCount val="6"/>
                <c:pt idx="0">
                  <c:v>2600</c:v>
                </c:pt>
                <c:pt idx="1">
                  <c:v>4200</c:v>
                </c:pt>
                <c:pt idx="2">
                  <c:v>4600</c:v>
                </c:pt>
                <c:pt idx="3">
                  <c:v>2800</c:v>
                </c:pt>
                <c:pt idx="4">
                  <c:v>1800</c:v>
                </c:pt>
                <c:pt idx="5">
                  <c:v>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EF-440E-ABD2-AA96C5A6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0471712"/>
        <c:axId val="-130483136"/>
      </c:lineChart>
      <c:catAx>
        <c:axId val="-1304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83136"/>
        <c:crosses val="autoZero"/>
        <c:auto val="1"/>
        <c:lblAlgn val="ctr"/>
        <c:lblOffset val="100"/>
        <c:noMultiLvlLbl val="0"/>
      </c:catAx>
      <c:valAx>
        <c:axId val="-130483136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7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拖车生产量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数据可视化!$A$2:$F$2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数据可视化!$A$3:$F$3</c:f>
              <c:numCache>
                <c:formatCode>_(* #,##0_);_(* \(#,##0\);_(* "-"_);_(@_)</c:formatCode>
                <c:ptCount val="6"/>
                <c:pt idx="0">
                  <c:v>2600</c:v>
                </c:pt>
                <c:pt idx="1">
                  <c:v>4200</c:v>
                </c:pt>
                <c:pt idx="2">
                  <c:v>4600</c:v>
                </c:pt>
                <c:pt idx="3">
                  <c:v>2800</c:v>
                </c:pt>
                <c:pt idx="4">
                  <c:v>1800</c:v>
                </c:pt>
                <c:pt idx="5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E5-436E-95C5-2F4BE352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482592"/>
        <c:axId val="-130495648"/>
      </c:barChart>
      <c:catAx>
        <c:axId val="-1304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95648"/>
        <c:crosses val="autoZero"/>
        <c:auto val="1"/>
        <c:lblAlgn val="ctr"/>
        <c:lblOffset val="100"/>
        <c:noMultiLvlLbl val="0"/>
      </c:catAx>
      <c:valAx>
        <c:axId val="-130495648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现金收款和现金支出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数据可视化!$I$3</c:f>
              <c:strCache>
                <c:ptCount val="1"/>
                <c:pt idx="0">
                  <c:v>现金收款总额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数据可视化!$J$2:$O$2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数据可视化!$J$3:$O$3</c:f>
              <c:numCache>
                <c:formatCode>_("$"* #,##0.00_);_("$"* \(#,##0.00\);_("$"* "-"??_);_(@_)</c:formatCode>
                <c:ptCount val="6"/>
                <c:pt idx="0">
                  <c:v>1701500</c:v>
                </c:pt>
                <c:pt idx="1">
                  <c:v>2528600</c:v>
                </c:pt>
                <c:pt idx="2">
                  <c:v>3150000</c:v>
                </c:pt>
                <c:pt idx="3">
                  <c:v>3650000</c:v>
                </c:pt>
                <c:pt idx="4">
                  <c:v>3850000</c:v>
                </c:pt>
                <c:pt idx="5">
                  <c:v>2295000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42-4078-B6A6-4891A0E14EAF}"/>
            </c:ext>
          </c:extLst>
        </c:ser>
        <c:ser>
          <c:idx val="1"/>
          <c:order val="1"/>
          <c:tx>
            <c:strRef>
              <c:f>数据可视化!$I$4</c:f>
              <c:strCache>
                <c:ptCount val="1"/>
                <c:pt idx="0">
                  <c:v>现金支出总额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数据可视化!$J$2:$O$2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数据可视化!$J$4:$O$4</c:f>
              <c:numCache>
                <c:formatCode>_("$"* #,##0.00_);_("$"* \(#,##0.00\);_("$"* "-"??_);_(@_)</c:formatCode>
                <c:ptCount val="6"/>
                <c:pt idx="0">
                  <c:v>2694000</c:v>
                </c:pt>
                <c:pt idx="1">
                  <c:v>3163000</c:v>
                </c:pt>
                <c:pt idx="2">
                  <c:v>3734000</c:v>
                </c:pt>
                <c:pt idx="3">
                  <c:v>2957000</c:v>
                </c:pt>
                <c:pt idx="4">
                  <c:v>2272000</c:v>
                </c:pt>
                <c:pt idx="5">
                  <c:v>1810000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42-4078-B6A6-4891A0E1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0487488"/>
        <c:axId val="-130477152"/>
      </c:lineChart>
      <c:catAx>
        <c:axId val="-1304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77152"/>
        <c:crosses val="autoZero"/>
        <c:auto val="1"/>
        <c:lblAlgn val="ctr"/>
        <c:lblOffset val="100"/>
        <c:noMultiLvlLbl val="0"/>
      </c:catAx>
      <c:valAx>
        <c:axId val="-13047715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现金收款和现金支出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数据可视化!$I$3</c:f>
              <c:strCache>
                <c:ptCount val="1"/>
                <c:pt idx="0">
                  <c:v>现金收款总额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数据可视化!$J$2:$O$2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数据可视化!$J$3:$O$3</c:f>
              <c:numCache>
                <c:formatCode>_("$"* #,##0.00_);_("$"* \(#,##0.00\);_("$"* "-"??_);_(@_)</c:formatCode>
                <c:ptCount val="6"/>
                <c:pt idx="0">
                  <c:v>1701500</c:v>
                </c:pt>
                <c:pt idx="1">
                  <c:v>2528600</c:v>
                </c:pt>
                <c:pt idx="2">
                  <c:v>3150000</c:v>
                </c:pt>
                <c:pt idx="3">
                  <c:v>3650000</c:v>
                </c:pt>
                <c:pt idx="4">
                  <c:v>3850000</c:v>
                </c:pt>
                <c:pt idx="5">
                  <c:v>2295000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C9-474E-939F-EFB87120A988}"/>
            </c:ext>
          </c:extLst>
        </c:ser>
        <c:ser>
          <c:idx val="1"/>
          <c:order val="1"/>
          <c:tx>
            <c:strRef>
              <c:f>数据可视化!$I$4</c:f>
              <c:strCache>
                <c:ptCount val="1"/>
                <c:pt idx="0">
                  <c:v>现金支出总额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数据可视化!$J$2:$O$2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数据可视化!$J$4:$O$4</c:f>
              <c:numCache>
                <c:formatCode>_("$"* #,##0.00_);_("$"* \(#,##0.00\);_("$"* "-"??_);_(@_)</c:formatCode>
                <c:ptCount val="6"/>
                <c:pt idx="0">
                  <c:v>2694000</c:v>
                </c:pt>
                <c:pt idx="1">
                  <c:v>3163000</c:v>
                </c:pt>
                <c:pt idx="2">
                  <c:v>3734000</c:v>
                </c:pt>
                <c:pt idx="3">
                  <c:v>2957000</c:v>
                </c:pt>
                <c:pt idx="4">
                  <c:v>2272000</c:v>
                </c:pt>
                <c:pt idx="5">
                  <c:v>1810000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C9-474E-939F-EFB87120A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472800"/>
        <c:axId val="-130488576"/>
      </c:barChart>
      <c:catAx>
        <c:axId val="-1304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88576"/>
        <c:crosses val="autoZero"/>
        <c:auto val="1"/>
        <c:lblAlgn val="ctr"/>
        <c:lblOffset val="100"/>
        <c:noMultiLvlLbl val="0"/>
      </c:catAx>
      <c:valAx>
        <c:axId val="-130488576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3047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7</xdr:col>
      <xdr:colOff>304800</xdr:colOff>
      <xdr:row>19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EB0D5F9-CB17-4CBC-ACD1-DB0CE0DBA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14287</xdr:rowOff>
    </xdr:from>
    <xdr:to>
      <xdr:col>7</xdr:col>
      <xdr:colOff>304800</xdr:colOff>
      <xdr:row>34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93EC8F7-3B17-4088-945A-06B7C7E62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</xdr:colOff>
      <xdr:row>4</xdr:row>
      <xdr:rowOff>185737</xdr:rowOff>
    </xdr:from>
    <xdr:to>
      <xdr:col>12</xdr:col>
      <xdr:colOff>138112</xdr:colOff>
      <xdr:row>19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E559CF07-3DCE-4948-9A10-03F9E4BB2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4762</xdr:colOff>
      <xdr:row>20</xdr:row>
      <xdr:rowOff>14287</xdr:rowOff>
    </xdr:from>
    <xdr:to>
      <xdr:col>12</xdr:col>
      <xdr:colOff>138112</xdr:colOff>
      <xdr:row>34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1F416E1-D5C1-4081-ABF1-2D9B82D83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5"/>
  <sheetViews>
    <sheetView zoomScale="75" zoomScaleNormal="75" workbookViewId="0">
      <selection activeCell="H17" sqref="H17"/>
    </sheetView>
  </sheetViews>
  <sheetFormatPr defaultColWidth="8.9140625" defaultRowHeight="14" x14ac:dyDescent="0.3"/>
  <cols>
    <col min="1" max="1" width="3.9140625" style="1" customWidth="1"/>
    <col min="2" max="2" width="16.08203125" style="1" customWidth="1"/>
    <col min="3" max="3" width="10.9140625" style="1" customWidth="1"/>
    <col min="4" max="4" width="11.9140625" style="1" customWidth="1"/>
    <col min="5" max="5" width="12.08203125" style="1" customWidth="1"/>
    <col min="6" max="6" width="14.4140625" style="1" customWidth="1"/>
    <col min="7" max="7" width="12.33203125" style="1" customWidth="1"/>
    <col min="8" max="8" width="12.6640625" style="1" customWidth="1"/>
    <col min="9" max="9" width="4.08203125" style="1" customWidth="1"/>
    <col min="10" max="10" width="4.33203125" style="1" customWidth="1"/>
    <col min="11" max="11" width="8.9140625" style="1"/>
    <col min="12" max="12" width="11" style="1" customWidth="1"/>
    <col min="13" max="13" width="12.6640625" style="1" bestFit="1" customWidth="1"/>
    <col min="14" max="14" width="14.33203125" style="1" bestFit="1" customWidth="1"/>
    <col min="15" max="15" width="13.08203125" style="1" bestFit="1" customWidth="1"/>
    <col min="16" max="16" width="4.08203125" style="1" customWidth="1"/>
    <col min="17" max="17" width="4.6640625" style="1" customWidth="1"/>
    <col min="18" max="19" width="10.6640625" style="1" customWidth="1"/>
    <col min="20" max="21" width="11.6640625" style="1" customWidth="1"/>
    <col min="22" max="22" width="7" style="1" bestFit="1" customWidth="1"/>
    <col min="23" max="23" width="4.08203125" style="1" customWidth="1"/>
    <col min="24" max="26" width="8.9140625" style="1"/>
    <col min="27" max="27" width="12.9140625" style="1" customWidth="1"/>
    <col min="28" max="16384" width="8.9140625" style="1"/>
  </cols>
  <sheetData>
    <row r="1" spans="1:21" ht="15.5" x14ac:dyDescent="0.4">
      <c r="A1" s="140" t="s">
        <v>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ht="16" thickBot="1" x14ac:dyDescent="0.45">
      <c r="A2" s="141" t="s">
        <v>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21" ht="14.5" thickBot="1" x14ac:dyDescent="0.35"/>
    <row r="4" spans="1:21" ht="15.5" x14ac:dyDescent="0.4">
      <c r="B4" s="2" t="s">
        <v>65</v>
      </c>
      <c r="C4" s="3"/>
      <c r="D4" s="3"/>
      <c r="E4" s="3"/>
      <c r="F4" s="3"/>
      <c r="G4" s="3"/>
      <c r="H4" s="4"/>
      <c r="K4" s="2" t="s">
        <v>66</v>
      </c>
      <c r="L4" s="3"/>
      <c r="M4" s="3"/>
      <c r="N4" s="3"/>
      <c r="O4" s="4"/>
      <c r="R4" s="2" t="s">
        <v>67</v>
      </c>
      <c r="S4" s="3"/>
      <c r="T4" s="3"/>
      <c r="U4" s="4"/>
    </row>
    <row r="5" spans="1:21" ht="16" thickBot="1" x14ac:dyDescent="0.45">
      <c r="B5" s="5" t="s">
        <v>45</v>
      </c>
      <c r="C5" s="6"/>
      <c r="D5" s="6"/>
      <c r="E5" s="6"/>
      <c r="F5" s="6"/>
      <c r="G5" s="6"/>
      <c r="H5" s="7"/>
      <c r="K5" s="5" t="s">
        <v>68</v>
      </c>
      <c r="L5" s="6"/>
      <c r="M5" s="6"/>
      <c r="N5" s="6"/>
      <c r="O5" s="7"/>
      <c r="R5" s="5" t="s">
        <v>69</v>
      </c>
      <c r="S5" s="6"/>
      <c r="T5" s="6"/>
      <c r="U5" s="7"/>
    </row>
    <row r="6" spans="1:21" ht="15.5" x14ac:dyDescent="0.4">
      <c r="B6" s="8" t="s">
        <v>46</v>
      </c>
      <c r="C6" s="9">
        <v>2015</v>
      </c>
      <c r="D6" s="9">
        <v>2016</v>
      </c>
      <c r="E6" s="9">
        <v>2017</v>
      </c>
      <c r="F6" s="9">
        <v>2018</v>
      </c>
      <c r="G6" s="9">
        <v>2019</v>
      </c>
      <c r="H6" s="10">
        <v>2020</v>
      </c>
      <c r="K6" s="11"/>
      <c r="L6" s="12"/>
      <c r="M6" s="13" t="s">
        <v>41</v>
      </c>
      <c r="N6" s="13" t="s">
        <v>47</v>
      </c>
      <c r="O6" s="14" t="s">
        <v>48</v>
      </c>
      <c r="R6" s="8"/>
      <c r="S6" s="15"/>
      <c r="T6" s="16" t="s">
        <v>49</v>
      </c>
      <c r="U6" s="17" t="s">
        <v>50</v>
      </c>
    </row>
    <row r="7" spans="1:21" ht="15.5" x14ac:dyDescent="0.4">
      <c r="B7" s="8" t="s">
        <v>51</v>
      </c>
      <c r="C7" s="18">
        <v>13765</v>
      </c>
      <c r="D7" s="18">
        <v>14880</v>
      </c>
      <c r="E7" s="18">
        <v>15991</v>
      </c>
      <c r="F7" s="18">
        <v>17809</v>
      </c>
      <c r="G7" s="18">
        <v>19634</v>
      </c>
      <c r="H7" s="19">
        <v>23322</v>
      </c>
      <c r="K7" s="8" t="s">
        <v>30</v>
      </c>
      <c r="L7" s="15"/>
      <c r="M7" s="20">
        <v>816000</v>
      </c>
      <c r="N7" s="20">
        <v>1056000</v>
      </c>
      <c r="O7" s="21">
        <v>888000</v>
      </c>
      <c r="R7" s="11"/>
      <c r="S7" s="12"/>
      <c r="T7" s="180" t="s">
        <v>70</v>
      </c>
      <c r="U7" s="181" t="s">
        <v>52</v>
      </c>
    </row>
    <row r="8" spans="1:21" ht="15.5" x14ac:dyDescent="0.4">
      <c r="B8" s="8"/>
      <c r="C8" s="22"/>
      <c r="D8" s="22"/>
      <c r="E8" s="23"/>
      <c r="F8" s="22"/>
      <c r="G8" s="22"/>
      <c r="H8" s="24"/>
      <c r="K8" s="8" t="s">
        <v>21</v>
      </c>
      <c r="L8" s="15"/>
      <c r="M8" s="25">
        <v>54000</v>
      </c>
      <c r="N8" s="25">
        <v>264000</v>
      </c>
      <c r="O8" s="26">
        <v>222000</v>
      </c>
      <c r="R8" s="8" t="s">
        <v>8</v>
      </c>
      <c r="S8" s="15"/>
      <c r="T8" s="25">
        <v>1983</v>
      </c>
      <c r="U8" s="26">
        <v>2500</v>
      </c>
    </row>
    <row r="9" spans="1:21" ht="15.5" x14ac:dyDescent="0.4">
      <c r="B9" s="8" t="s">
        <v>46</v>
      </c>
      <c r="C9" s="9">
        <v>2021</v>
      </c>
      <c r="D9" s="9">
        <v>2022</v>
      </c>
      <c r="E9" s="9">
        <v>2023</v>
      </c>
      <c r="F9" s="9">
        <v>2024</v>
      </c>
      <c r="G9" s="9">
        <v>2025</v>
      </c>
      <c r="H9" s="27"/>
      <c r="K9" s="8" t="s">
        <v>31</v>
      </c>
      <c r="L9" s="15"/>
      <c r="M9" s="25">
        <v>624000</v>
      </c>
      <c r="N9" s="25">
        <v>1008000</v>
      </c>
      <c r="O9" s="26">
        <v>1104000</v>
      </c>
      <c r="R9" s="8" t="s">
        <v>9</v>
      </c>
      <c r="S9" s="15"/>
      <c r="T9" s="25">
        <v>3218</v>
      </c>
      <c r="U9" s="26">
        <v>4000</v>
      </c>
    </row>
    <row r="10" spans="1:21" ht="16" thickBot="1" x14ac:dyDescent="0.45">
      <c r="B10" s="28" t="s">
        <v>53</v>
      </c>
      <c r="C10" s="29">
        <v>28000</v>
      </c>
      <c r="D10" s="29">
        <v>33600</v>
      </c>
      <c r="E10" s="29">
        <v>40320</v>
      </c>
      <c r="F10" s="29">
        <v>48384</v>
      </c>
      <c r="G10" s="29">
        <v>58060</v>
      </c>
      <c r="H10" s="7"/>
      <c r="K10" s="8" t="s">
        <v>37</v>
      </c>
      <c r="L10" s="15"/>
      <c r="M10" s="25">
        <v>130000</v>
      </c>
      <c r="N10" s="25">
        <v>195000</v>
      </c>
      <c r="O10" s="26">
        <v>220000</v>
      </c>
      <c r="R10" s="8" t="s">
        <v>10</v>
      </c>
      <c r="S10" s="15"/>
      <c r="T10" s="25">
        <v>3981</v>
      </c>
      <c r="U10" s="26">
        <v>5000</v>
      </c>
    </row>
    <row r="11" spans="1:21" ht="15.5" x14ac:dyDescent="0.4">
      <c r="G11" s="30"/>
      <c r="K11" s="8" t="s">
        <v>38</v>
      </c>
      <c r="L11" s="15"/>
      <c r="M11" s="25">
        <v>390000</v>
      </c>
      <c r="N11" s="25">
        <v>390000</v>
      </c>
      <c r="O11" s="26">
        <v>390000</v>
      </c>
      <c r="R11" s="8" t="s">
        <v>11</v>
      </c>
      <c r="S11" s="15"/>
      <c r="T11" s="25">
        <v>3240</v>
      </c>
      <c r="U11" s="26">
        <v>3000</v>
      </c>
    </row>
    <row r="12" spans="1:21" ht="16" thickBot="1" x14ac:dyDescent="0.45">
      <c r="K12" s="8" t="s">
        <v>34</v>
      </c>
      <c r="L12" s="15"/>
      <c r="M12" s="25">
        <v>300000</v>
      </c>
      <c r="N12" s="25">
        <v>300000</v>
      </c>
      <c r="O12" s="26">
        <v>300000</v>
      </c>
      <c r="R12" s="8" t="s">
        <v>12</v>
      </c>
      <c r="S12" s="15"/>
      <c r="T12" s="25">
        <v>1755</v>
      </c>
      <c r="U12" s="26">
        <v>2000</v>
      </c>
    </row>
    <row r="13" spans="1:21" ht="15.5" x14ac:dyDescent="0.4">
      <c r="B13" s="2" t="s">
        <v>88</v>
      </c>
      <c r="C13" s="3"/>
      <c r="D13" s="3"/>
      <c r="E13" s="3"/>
      <c r="F13" s="3"/>
      <c r="G13" s="3"/>
      <c r="H13" s="4"/>
      <c r="K13" s="8" t="s">
        <v>89</v>
      </c>
      <c r="L13" s="15"/>
      <c r="M13" s="25">
        <v>250000</v>
      </c>
      <c r="N13" s="25">
        <v>250000</v>
      </c>
      <c r="O13" s="26">
        <v>250000</v>
      </c>
      <c r="R13" s="8" t="s">
        <v>13</v>
      </c>
      <c r="S13" s="15"/>
      <c r="T13" s="25">
        <v>901</v>
      </c>
      <c r="U13" s="26">
        <v>1000</v>
      </c>
    </row>
    <row r="14" spans="1:21" ht="16" thickBot="1" x14ac:dyDescent="0.45">
      <c r="B14" s="5" t="s">
        <v>55</v>
      </c>
      <c r="C14" s="6"/>
      <c r="D14" s="6"/>
      <c r="E14" s="6"/>
      <c r="F14" s="6"/>
      <c r="G14" s="6"/>
      <c r="H14" s="7"/>
      <c r="K14" s="11" t="s">
        <v>14</v>
      </c>
      <c r="L14" s="12"/>
      <c r="M14" s="31">
        <v>400000</v>
      </c>
      <c r="N14" s="31">
        <v>400000</v>
      </c>
      <c r="O14" s="32">
        <v>400000</v>
      </c>
      <c r="R14" s="8" t="s">
        <v>15</v>
      </c>
      <c r="S14" s="15"/>
      <c r="T14" s="25">
        <v>763</v>
      </c>
      <c r="U14" s="26">
        <v>1000</v>
      </c>
    </row>
    <row r="15" spans="1:21" ht="15.5" x14ac:dyDescent="0.4">
      <c r="B15" s="8" t="s">
        <v>71</v>
      </c>
      <c r="C15" s="15"/>
      <c r="D15" s="15"/>
      <c r="E15" s="18">
        <v>1000</v>
      </c>
      <c r="F15" s="33" t="s">
        <v>39</v>
      </c>
      <c r="G15" s="15"/>
      <c r="H15" s="27"/>
      <c r="K15" s="8"/>
      <c r="L15" s="15"/>
      <c r="M15" s="15"/>
      <c r="N15" s="15"/>
      <c r="O15" s="27"/>
      <c r="R15" s="8" t="s">
        <v>16</v>
      </c>
      <c r="S15" s="15"/>
      <c r="T15" s="25">
        <v>611</v>
      </c>
      <c r="U15" s="26">
        <v>1000</v>
      </c>
    </row>
    <row r="16" spans="1:21" ht="15.5" x14ac:dyDescent="0.4">
      <c r="B16" s="34"/>
      <c r="C16" s="22"/>
      <c r="D16" s="22"/>
      <c r="E16" s="23"/>
      <c r="F16" s="22"/>
      <c r="G16" s="22"/>
      <c r="H16" s="24"/>
      <c r="K16" s="11"/>
      <c r="L16" s="12"/>
      <c r="M16" s="13" t="s">
        <v>42</v>
      </c>
      <c r="N16" s="13" t="s">
        <v>90</v>
      </c>
      <c r="O16" s="14" t="s">
        <v>57</v>
      </c>
      <c r="R16" s="8" t="s">
        <v>19</v>
      </c>
      <c r="S16" s="15"/>
      <c r="T16" s="25">
        <v>1622</v>
      </c>
      <c r="U16" s="26">
        <v>2000</v>
      </c>
    </row>
    <row r="17" spans="2:21" ht="15.5" x14ac:dyDescent="0.4">
      <c r="B17" s="8" t="s">
        <v>73</v>
      </c>
      <c r="C17" s="15"/>
      <c r="D17" s="15"/>
      <c r="E17" s="35">
        <v>300</v>
      </c>
      <c r="F17" s="33" t="s">
        <v>74</v>
      </c>
      <c r="G17" s="15"/>
      <c r="H17" s="27"/>
      <c r="K17" s="8" t="s">
        <v>75</v>
      </c>
      <c r="L17" s="15"/>
      <c r="M17" s="36">
        <v>552000</v>
      </c>
      <c r="N17" s="36">
        <v>336000</v>
      </c>
      <c r="O17" s="37">
        <v>240000</v>
      </c>
      <c r="R17" s="8" t="s">
        <v>20</v>
      </c>
      <c r="S17" s="15"/>
      <c r="T17" s="25">
        <v>1678</v>
      </c>
      <c r="U17" s="26">
        <v>2000</v>
      </c>
    </row>
    <row r="18" spans="2:21" ht="16" thickBot="1" x14ac:dyDescent="0.45">
      <c r="B18" s="28" t="s">
        <v>91</v>
      </c>
      <c r="C18" s="6"/>
      <c r="D18" s="38" t="s">
        <v>0</v>
      </c>
      <c r="E18" s="39">
        <v>0.2</v>
      </c>
      <c r="F18" s="40" t="s">
        <v>58</v>
      </c>
      <c r="G18" s="6"/>
      <c r="H18" s="7"/>
      <c r="K18" s="8" t="s">
        <v>92</v>
      </c>
      <c r="L18" s="15"/>
      <c r="M18" s="25">
        <v>138000</v>
      </c>
      <c r="N18" s="25">
        <v>84000</v>
      </c>
      <c r="O18" s="26">
        <v>90000</v>
      </c>
      <c r="R18" s="8" t="s">
        <v>22</v>
      </c>
      <c r="S18" s="15"/>
      <c r="T18" s="25">
        <v>1439</v>
      </c>
      <c r="U18" s="26">
        <v>2000</v>
      </c>
    </row>
    <row r="19" spans="2:21" ht="15.5" x14ac:dyDescent="0.4">
      <c r="K19" s="8" t="s">
        <v>93</v>
      </c>
      <c r="L19" s="15"/>
      <c r="M19" s="25">
        <v>672000</v>
      </c>
      <c r="N19" s="25">
        <v>432000</v>
      </c>
      <c r="O19" s="26">
        <v>240000</v>
      </c>
      <c r="R19" s="11" t="s">
        <v>24</v>
      </c>
      <c r="S19" s="12"/>
      <c r="T19" s="31">
        <v>2131</v>
      </c>
      <c r="U19" s="32">
        <v>2500</v>
      </c>
    </row>
    <row r="20" spans="2:21" ht="16" thickBot="1" x14ac:dyDescent="0.45">
      <c r="K20" s="8" t="s">
        <v>37</v>
      </c>
      <c r="L20" s="15"/>
      <c r="M20" s="25">
        <v>135000</v>
      </c>
      <c r="N20" s="25">
        <v>110000</v>
      </c>
      <c r="O20" s="26">
        <v>110000</v>
      </c>
      <c r="R20" s="28" t="s">
        <v>94</v>
      </c>
      <c r="S20" s="6"/>
      <c r="T20" s="29">
        <f>SUM(T8:T19)</f>
        <v>23322</v>
      </c>
      <c r="U20" s="41">
        <f>SUM(U8:U19)</f>
        <v>28000</v>
      </c>
    </row>
    <row r="21" spans="2:21" ht="15.5" x14ac:dyDescent="0.4">
      <c r="B21" s="2" t="s">
        <v>95</v>
      </c>
      <c r="C21" s="3"/>
      <c r="D21" s="3"/>
      <c r="E21" s="3"/>
      <c r="F21" s="3"/>
      <c r="G21" s="3"/>
      <c r="H21" s="4"/>
      <c r="K21" s="8" t="s">
        <v>38</v>
      </c>
      <c r="L21" s="15"/>
      <c r="M21" s="25">
        <v>340000</v>
      </c>
      <c r="N21" s="25">
        <v>340000</v>
      </c>
      <c r="O21" s="26">
        <v>340000</v>
      </c>
    </row>
    <row r="22" spans="2:21" ht="16" thickBot="1" x14ac:dyDescent="0.45">
      <c r="B22" s="5" t="s">
        <v>59</v>
      </c>
      <c r="C22" s="6"/>
      <c r="D22" s="6"/>
      <c r="E22" s="6"/>
      <c r="F22" s="6"/>
      <c r="G22" s="6"/>
      <c r="H22" s="7"/>
      <c r="K22" s="8" t="s">
        <v>34</v>
      </c>
      <c r="L22" s="15"/>
      <c r="M22" s="25">
        <v>300000</v>
      </c>
      <c r="N22" s="25">
        <v>300000</v>
      </c>
      <c r="O22" s="26">
        <v>300000</v>
      </c>
    </row>
    <row r="23" spans="2:21" ht="15.5" x14ac:dyDescent="0.4">
      <c r="B23" s="8" t="s">
        <v>43</v>
      </c>
      <c r="C23" s="15"/>
      <c r="D23" s="15"/>
      <c r="E23" s="15"/>
      <c r="F23" s="42">
        <v>30</v>
      </c>
      <c r="G23" s="33" t="s">
        <v>60</v>
      </c>
      <c r="H23" s="27"/>
      <c r="K23" s="8" t="s">
        <v>89</v>
      </c>
      <c r="L23" s="15"/>
      <c r="M23" s="25">
        <v>275000</v>
      </c>
      <c r="N23" s="25">
        <v>275000</v>
      </c>
      <c r="O23" s="26">
        <v>275000</v>
      </c>
      <c r="R23" s="2" t="s">
        <v>96</v>
      </c>
      <c r="S23" s="3"/>
      <c r="T23" s="3"/>
      <c r="U23" s="4"/>
    </row>
    <row r="24" spans="2:21" ht="16" thickBot="1" x14ac:dyDescent="0.45">
      <c r="B24" s="34"/>
      <c r="C24" s="22"/>
      <c r="D24" s="22"/>
      <c r="E24" s="23"/>
      <c r="F24" s="22"/>
      <c r="G24" s="22"/>
      <c r="H24" s="24"/>
      <c r="K24" s="28" t="s">
        <v>97</v>
      </c>
      <c r="L24" s="6"/>
      <c r="M24" s="43">
        <v>400000</v>
      </c>
      <c r="N24" s="43">
        <v>400000</v>
      </c>
      <c r="O24" s="44">
        <v>400000</v>
      </c>
      <c r="R24" s="5" t="s">
        <v>44</v>
      </c>
      <c r="S24" s="6"/>
      <c r="T24" s="6"/>
      <c r="U24" s="7"/>
    </row>
    <row r="25" spans="2:21" ht="15.5" x14ac:dyDescent="0.4">
      <c r="B25" s="8" t="s">
        <v>98</v>
      </c>
      <c r="C25" s="15"/>
      <c r="D25" s="15"/>
      <c r="E25" s="15"/>
      <c r="F25" s="45">
        <v>15</v>
      </c>
      <c r="G25" s="15"/>
      <c r="H25" s="27"/>
      <c r="R25" s="8" t="s">
        <v>99</v>
      </c>
      <c r="S25" s="15"/>
      <c r="T25" s="15"/>
      <c r="U25" s="37">
        <v>1439000</v>
      </c>
    </row>
    <row r="26" spans="2:21" ht="16" thickBot="1" x14ac:dyDescent="0.45">
      <c r="B26" s="28" t="s">
        <v>100</v>
      </c>
      <c r="C26" s="6"/>
      <c r="D26" s="6"/>
      <c r="E26" s="6"/>
      <c r="F26" s="46">
        <v>8</v>
      </c>
      <c r="G26" s="6"/>
      <c r="H26" s="7"/>
      <c r="R26" s="8" t="s">
        <v>101</v>
      </c>
      <c r="S26" s="15"/>
      <c r="T26" s="15"/>
      <c r="U26" s="37">
        <v>2131000</v>
      </c>
    </row>
    <row r="27" spans="2:21" ht="15.5" x14ac:dyDescent="0.4">
      <c r="K27" s="2" t="s">
        <v>102</v>
      </c>
      <c r="L27" s="3"/>
      <c r="M27" s="3"/>
      <c r="N27" s="3"/>
      <c r="O27" s="4"/>
      <c r="R27" s="8" t="s">
        <v>103</v>
      </c>
      <c r="S27" s="15"/>
      <c r="T27" s="15"/>
      <c r="U27" s="37">
        <v>2500000</v>
      </c>
    </row>
    <row r="28" spans="2:21" ht="16" thickBot="1" x14ac:dyDescent="0.45">
      <c r="K28" s="47"/>
      <c r="L28" s="15"/>
      <c r="M28" s="15"/>
      <c r="N28" s="15"/>
      <c r="O28" s="27"/>
      <c r="R28" s="8" t="s">
        <v>77</v>
      </c>
      <c r="S28" s="15"/>
      <c r="T28" s="15"/>
      <c r="U28" s="37">
        <v>4000000</v>
      </c>
    </row>
    <row r="29" spans="2:21" ht="16" thickBot="1" x14ac:dyDescent="0.45">
      <c r="B29" s="2" t="s">
        <v>78</v>
      </c>
      <c r="C29" s="3"/>
      <c r="D29" s="3"/>
      <c r="E29" s="3"/>
      <c r="F29" s="4"/>
      <c r="K29" s="5" t="s">
        <v>104</v>
      </c>
      <c r="L29" s="6"/>
      <c r="M29" s="6"/>
      <c r="N29" s="6"/>
      <c r="O29" s="7"/>
      <c r="R29" s="8" t="s">
        <v>79</v>
      </c>
      <c r="S29" s="15"/>
      <c r="T29" s="15"/>
      <c r="U29" s="37">
        <v>5000000</v>
      </c>
    </row>
    <row r="30" spans="2:21" ht="16" thickBot="1" x14ac:dyDescent="0.45">
      <c r="B30" s="5" t="s">
        <v>105</v>
      </c>
      <c r="C30" s="48"/>
      <c r="D30" s="6"/>
      <c r="E30" s="6"/>
      <c r="F30" s="7"/>
      <c r="K30" s="8" t="s">
        <v>106</v>
      </c>
      <c r="L30" s="15"/>
      <c r="M30" s="49">
        <v>700000</v>
      </c>
      <c r="N30" s="15"/>
      <c r="O30" s="27"/>
      <c r="R30" s="8" t="s">
        <v>107</v>
      </c>
      <c r="S30" s="15"/>
      <c r="T30" s="15"/>
      <c r="U30" s="37">
        <v>3000000</v>
      </c>
    </row>
    <row r="31" spans="2:21" ht="16" thickBot="1" x14ac:dyDescent="0.45">
      <c r="B31" s="50">
        <v>8</v>
      </c>
      <c r="C31" s="6" t="s">
        <v>108</v>
      </c>
      <c r="D31" s="6"/>
      <c r="E31" s="6"/>
      <c r="F31" s="7"/>
      <c r="K31" s="28" t="s">
        <v>109</v>
      </c>
      <c r="L31" s="6"/>
      <c r="M31" s="51">
        <v>150000</v>
      </c>
      <c r="N31" s="6"/>
      <c r="O31" s="7"/>
      <c r="R31" s="8" t="s">
        <v>110</v>
      </c>
      <c r="S31" s="15"/>
      <c r="T31" s="15"/>
      <c r="U31" s="37">
        <v>2200000</v>
      </c>
    </row>
    <row r="32" spans="2:21" ht="16" thickBot="1" x14ac:dyDescent="0.45">
      <c r="R32" s="28" t="s">
        <v>111</v>
      </c>
      <c r="S32" s="6"/>
      <c r="T32" s="6"/>
      <c r="U32" s="52">
        <v>1100000</v>
      </c>
    </row>
    <row r="33" spans="2:21" ht="14.5" thickBot="1" x14ac:dyDescent="0.35"/>
    <row r="34" spans="2:21" ht="15.5" x14ac:dyDescent="0.4">
      <c r="B34" s="2" t="s">
        <v>81</v>
      </c>
      <c r="C34" s="3"/>
      <c r="D34" s="3"/>
      <c r="E34" s="3"/>
      <c r="F34" s="3"/>
      <c r="G34" s="3"/>
      <c r="H34" s="4"/>
      <c r="K34" s="2" t="s">
        <v>82</v>
      </c>
      <c r="L34" s="3"/>
      <c r="M34" s="3"/>
      <c r="N34" s="3"/>
      <c r="O34" s="4"/>
      <c r="R34" s="2" t="s">
        <v>112</v>
      </c>
      <c r="S34" s="3"/>
      <c r="T34" s="3"/>
      <c r="U34" s="4"/>
    </row>
    <row r="35" spans="2:21" ht="16" thickBot="1" x14ac:dyDescent="0.45">
      <c r="B35" s="5" t="s">
        <v>61</v>
      </c>
      <c r="C35" s="6"/>
      <c r="D35" s="6"/>
      <c r="E35" s="6"/>
      <c r="F35" s="6"/>
      <c r="G35" s="6"/>
      <c r="H35" s="7"/>
      <c r="K35" s="5" t="s">
        <v>113</v>
      </c>
      <c r="L35" s="6"/>
      <c r="M35" s="6"/>
      <c r="N35" s="6"/>
      <c r="O35" s="7"/>
      <c r="R35" s="5" t="s">
        <v>83</v>
      </c>
      <c r="S35" s="6"/>
      <c r="T35" s="6"/>
      <c r="U35" s="7"/>
    </row>
    <row r="36" spans="2:21" ht="15.5" x14ac:dyDescent="0.4">
      <c r="B36" s="8" t="s">
        <v>35</v>
      </c>
      <c r="C36" s="15"/>
      <c r="D36" s="15"/>
      <c r="E36" s="53">
        <v>0.5</v>
      </c>
      <c r="F36" s="15" t="s">
        <v>114</v>
      </c>
      <c r="G36" s="15"/>
      <c r="H36" s="27"/>
      <c r="K36" s="8" t="s">
        <v>115</v>
      </c>
      <c r="L36" s="15"/>
      <c r="M36" s="15"/>
      <c r="N36" s="15"/>
      <c r="O36" s="54">
        <v>800000</v>
      </c>
      <c r="R36" s="8" t="s">
        <v>64</v>
      </c>
      <c r="S36" s="55"/>
      <c r="T36" s="55"/>
      <c r="U36" s="56"/>
    </row>
    <row r="37" spans="2:21" ht="15.5" x14ac:dyDescent="0.4">
      <c r="B37" s="8" t="s">
        <v>1</v>
      </c>
      <c r="C37" s="15"/>
      <c r="D37" s="15"/>
      <c r="E37" s="15"/>
      <c r="F37" s="15"/>
      <c r="G37" s="15"/>
      <c r="H37" s="27"/>
      <c r="K37" s="8" t="s">
        <v>27</v>
      </c>
      <c r="L37" s="15"/>
      <c r="M37" s="15"/>
      <c r="N37" s="15"/>
      <c r="O37" s="57">
        <v>90</v>
      </c>
      <c r="R37" s="8" t="s">
        <v>28</v>
      </c>
      <c r="S37" s="15"/>
      <c r="T37" s="15"/>
      <c r="U37" s="58">
        <v>0.25</v>
      </c>
    </row>
    <row r="38" spans="2:21" ht="15.5" x14ac:dyDescent="0.4">
      <c r="B38" s="34"/>
      <c r="C38" s="22"/>
      <c r="D38" s="22"/>
      <c r="E38" s="23"/>
      <c r="F38" s="22"/>
      <c r="G38" s="22"/>
      <c r="H38" s="24"/>
      <c r="K38" s="34"/>
      <c r="L38" s="22"/>
      <c r="M38" s="22"/>
      <c r="N38" s="22"/>
      <c r="O38" s="24"/>
      <c r="R38" s="8" t="s">
        <v>116</v>
      </c>
      <c r="S38" s="15"/>
      <c r="T38" s="15"/>
      <c r="U38" s="58">
        <v>0.1</v>
      </c>
    </row>
    <row r="39" spans="2:21" ht="16" thickBot="1" x14ac:dyDescent="0.45">
      <c r="B39" s="8" t="s">
        <v>117</v>
      </c>
      <c r="C39" s="15"/>
      <c r="D39" s="15"/>
      <c r="E39" s="35">
        <v>39000</v>
      </c>
      <c r="F39" s="33" t="s">
        <v>84</v>
      </c>
      <c r="G39" s="59"/>
      <c r="H39" s="27"/>
      <c r="K39" s="28" t="s">
        <v>62</v>
      </c>
      <c r="L39" s="6"/>
      <c r="M39" s="6"/>
      <c r="N39" s="6"/>
      <c r="O39" s="60">
        <v>100000</v>
      </c>
      <c r="R39" s="8" t="s">
        <v>85</v>
      </c>
      <c r="S39" s="15"/>
      <c r="T39" s="15"/>
      <c r="U39" s="58">
        <v>0.6</v>
      </c>
    </row>
    <row r="40" spans="2:21" ht="16" thickBot="1" x14ac:dyDescent="0.45">
      <c r="B40" s="28"/>
      <c r="C40" s="6"/>
      <c r="D40" s="6"/>
      <c r="E40" s="6"/>
      <c r="F40" s="6"/>
      <c r="G40" s="6"/>
      <c r="H40" s="7"/>
      <c r="R40" s="28" t="s">
        <v>63</v>
      </c>
      <c r="S40" s="6"/>
      <c r="T40" s="6"/>
      <c r="U40" s="61"/>
    </row>
    <row r="41" spans="2:21" ht="14.5" thickBot="1" x14ac:dyDescent="0.35"/>
    <row r="42" spans="2:21" ht="15.5" x14ac:dyDescent="0.4">
      <c r="K42" s="62"/>
      <c r="L42" s="62"/>
      <c r="M42" s="62"/>
      <c r="R42" s="2" t="s">
        <v>118</v>
      </c>
      <c r="S42" s="3"/>
      <c r="T42" s="3"/>
      <c r="U42" s="4"/>
    </row>
    <row r="43" spans="2:21" ht="16" thickBot="1" x14ac:dyDescent="0.45">
      <c r="R43" s="5" t="s">
        <v>87</v>
      </c>
      <c r="S43" s="6"/>
      <c r="T43" s="6"/>
      <c r="U43" s="7"/>
    </row>
    <row r="44" spans="2:21" ht="15.5" x14ac:dyDescent="0.4">
      <c r="R44" s="8" t="s">
        <v>119</v>
      </c>
      <c r="S44" s="15"/>
      <c r="T44" s="15"/>
      <c r="U44" s="57">
        <v>3000</v>
      </c>
    </row>
    <row r="45" spans="2:21" ht="16" thickBot="1" x14ac:dyDescent="0.45">
      <c r="R45" s="28" t="s">
        <v>120</v>
      </c>
      <c r="S45" s="6"/>
      <c r="T45" s="6"/>
      <c r="U45" s="41">
        <v>3500</v>
      </c>
    </row>
  </sheetData>
  <mergeCells count="2">
    <mergeCell ref="A1:U1"/>
    <mergeCell ref="A2:U2"/>
  </mergeCells>
  <phoneticPr fontId="2" type="noConversion"/>
  <pageMargins left="0.7" right="0.7" top="0.75" bottom="0.75" header="0.3" footer="0.3"/>
  <pageSetup orientation="portrait" r:id="rId1"/>
  <colBreaks count="2" manualBreakCount="2">
    <brk id="9" max="1048575" man="1"/>
    <brk id="16" max="1048575" man="1"/>
  </col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I1" zoomScale="85" zoomScaleNormal="85" workbookViewId="0">
      <selection activeCell="T9" sqref="T9:W10"/>
    </sheetView>
  </sheetViews>
  <sheetFormatPr defaultColWidth="8.9140625" defaultRowHeight="14" x14ac:dyDescent="0.3"/>
  <cols>
    <col min="1" max="1" width="3.9140625" style="1" customWidth="1"/>
    <col min="2" max="2" width="16.08203125" style="1" customWidth="1"/>
    <col min="3" max="8" width="8.6640625" style="1" customWidth="1"/>
    <col min="9" max="9" width="4.08203125" style="1" customWidth="1"/>
    <col min="10" max="10" width="4.33203125" style="1" customWidth="1"/>
    <col min="11" max="11" width="8.9140625" style="1"/>
    <col min="12" max="12" width="11" style="1" customWidth="1"/>
    <col min="13" max="13" width="12.6640625" style="1" bestFit="1" customWidth="1"/>
    <col min="14" max="14" width="14.33203125" style="1" bestFit="1" customWidth="1"/>
    <col min="15" max="15" width="13.08203125" style="1" bestFit="1" customWidth="1"/>
    <col min="16" max="16" width="4.08203125" style="1" customWidth="1"/>
    <col min="17" max="17" width="4.6640625" style="1" customWidth="1"/>
    <col min="18" max="19" width="10.6640625" style="1" customWidth="1"/>
    <col min="20" max="20" width="11.6640625" style="1" customWidth="1"/>
    <col min="21" max="21" width="34.6640625" style="1" customWidth="1"/>
    <col min="22" max="22" width="7" style="1" bestFit="1" customWidth="1"/>
    <col min="23" max="23" width="18.6640625" style="1" customWidth="1"/>
    <col min="24" max="26" width="8.9140625" style="1"/>
    <col min="27" max="27" width="12.9140625" style="1" customWidth="1"/>
    <col min="28" max="16384" width="8.9140625" style="1"/>
  </cols>
  <sheetData>
    <row r="1" spans="1:23" ht="15.5" x14ac:dyDescent="0.4">
      <c r="A1" s="140" t="s">
        <v>163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3" ht="16" thickBot="1" x14ac:dyDescent="0.45">
      <c r="A2" s="141" t="s">
        <v>150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W2" s="63" t="s">
        <v>121</v>
      </c>
    </row>
    <row r="3" spans="1:23" ht="14.5" thickBot="1" x14ac:dyDescent="0.35">
      <c r="W3" s="64">
        <v>0</v>
      </c>
    </row>
    <row r="4" spans="1:23" ht="15.5" x14ac:dyDescent="0.4">
      <c r="B4" s="2" t="s">
        <v>164</v>
      </c>
      <c r="C4" s="3"/>
      <c r="D4" s="3"/>
      <c r="E4" s="3"/>
      <c r="F4" s="3"/>
      <c r="G4" s="3"/>
      <c r="H4" s="4"/>
      <c r="K4" s="2" t="s">
        <v>165</v>
      </c>
      <c r="L4" s="3"/>
      <c r="M4" s="3"/>
      <c r="N4" s="3"/>
      <c r="O4" s="4"/>
      <c r="R4" s="2" t="s">
        <v>166</v>
      </c>
      <c r="S4" s="3"/>
      <c r="T4" s="3"/>
      <c r="U4" s="4"/>
      <c r="W4" s="179" t="s">
        <v>123</v>
      </c>
    </row>
    <row r="5" spans="1:23" ht="16" thickBot="1" x14ac:dyDescent="0.45">
      <c r="B5" s="5" t="s">
        <v>124</v>
      </c>
      <c r="C5" s="6"/>
      <c r="D5" s="6"/>
      <c r="E5" s="6"/>
      <c r="F5" s="6"/>
      <c r="G5" s="6"/>
      <c r="H5" s="7"/>
      <c r="K5" s="5" t="s">
        <v>167</v>
      </c>
      <c r="L5" s="6"/>
      <c r="M5" s="6"/>
      <c r="N5" s="6"/>
      <c r="O5" s="7"/>
      <c r="R5" s="5" t="s">
        <v>168</v>
      </c>
      <c r="S5" s="6"/>
      <c r="T5" s="6"/>
      <c r="U5" s="7"/>
      <c r="W5" s="179"/>
    </row>
    <row r="6" spans="1:23" ht="15.5" x14ac:dyDescent="0.4">
      <c r="B6" s="8" t="s">
        <v>125</v>
      </c>
      <c r="C6" s="9">
        <v>2015</v>
      </c>
      <c r="D6" s="9">
        <v>2016</v>
      </c>
      <c r="E6" s="9">
        <v>2017</v>
      </c>
      <c r="F6" s="9">
        <v>2018</v>
      </c>
      <c r="G6" s="9">
        <v>2019</v>
      </c>
      <c r="H6" s="10">
        <v>2020</v>
      </c>
      <c r="K6" s="11"/>
      <c r="L6" s="12"/>
      <c r="M6" s="13" t="s">
        <v>126</v>
      </c>
      <c r="N6" s="13" t="s">
        <v>4</v>
      </c>
      <c r="O6" s="14" t="s">
        <v>127</v>
      </c>
      <c r="R6" s="8"/>
      <c r="S6" s="15"/>
      <c r="T6" s="16" t="s">
        <v>128</v>
      </c>
      <c r="U6" s="17" t="s">
        <v>5</v>
      </c>
      <c r="W6" s="179"/>
    </row>
    <row r="7" spans="1:23" ht="15.5" x14ac:dyDescent="0.4">
      <c r="B7" s="8" t="s">
        <v>129</v>
      </c>
      <c r="C7" s="18">
        <f>ROUND(默认表格!C7*(1+学生表格!$W$3),0)</f>
        <v>13765</v>
      </c>
      <c r="D7" s="18">
        <f>ROUND(默认表格!D7*(1+学生表格!$W$3),0)</f>
        <v>14880</v>
      </c>
      <c r="E7" s="18">
        <f>ROUND(默认表格!E7*(1+学生表格!$W$3),0)</f>
        <v>15991</v>
      </c>
      <c r="F7" s="18">
        <f>ROUND(默认表格!F7*(1+学生表格!$W$3),0)</f>
        <v>17809</v>
      </c>
      <c r="G7" s="18">
        <f>ROUND(默认表格!G7*(1+学生表格!$W$3),0)</f>
        <v>19634</v>
      </c>
      <c r="H7" s="19">
        <f>T20</f>
        <v>23322</v>
      </c>
      <c r="K7" s="8" t="s">
        <v>6</v>
      </c>
      <c r="L7" s="15"/>
      <c r="M7" s="20">
        <f>ROUND(默认表格!M7*(1+学生表格!$W$3),0)</f>
        <v>816000</v>
      </c>
      <c r="N7" s="20">
        <f>ROUND(默认表格!N7*(1+学生表格!$W$3),0)</f>
        <v>1056000</v>
      </c>
      <c r="O7" s="21">
        <f>ROUND(默认表格!O7*(1+学生表格!$W$3),0)</f>
        <v>888000</v>
      </c>
      <c r="R7" s="11"/>
      <c r="S7" s="12"/>
      <c r="T7" s="180" t="s">
        <v>160</v>
      </c>
      <c r="U7" s="181" t="s">
        <v>130</v>
      </c>
      <c r="W7" s="179"/>
    </row>
    <row r="8" spans="1:23" ht="15.5" x14ac:dyDescent="0.4">
      <c r="B8" s="8"/>
      <c r="C8" s="22"/>
      <c r="D8" s="22"/>
      <c r="E8" s="23"/>
      <c r="F8" s="22"/>
      <c r="G8" s="22"/>
      <c r="H8" s="24"/>
      <c r="K8" s="8" t="s">
        <v>7</v>
      </c>
      <c r="L8" s="15"/>
      <c r="M8" s="25">
        <f>ROUND(默认表格!M8*(1+学生表格!$W$3),0)</f>
        <v>54000</v>
      </c>
      <c r="N8" s="25">
        <f>ROUND(默认表格!N8*(1+学生表格!$W$3),0)</f>
        <v>264000</v>
      </c>
      <c r="O8" s="26">
        <f>ROUND(默认表格!O8*(1+学生表格!$W$3),0)</f>
        <v>222000</v>
      </c>
      <c r="R8" s="8" t="s">
        <v>8</v>
      </c>
      <c r="S8" s="15"/>
      <c r="T8" s="25">
        <f>ROUND(默认表格!T8*(1+学生表格!$W$3),0)</f>
        <v>1983</v>
      </c>
      <c r="U8" s="26">
        <f>ROUND(默认表格!U8*(1+学生表格!$W$3),0)</f>
        <v>2500</v>
      </c>
      <c r="W8" s="179" t="s">
        <v>132</v>
      </c>
    </row>
    <row r="9" spans="1:23" ht="15.5" x14ac:dyDescent="0.4">
      <c r="B9" s="8" t="s">
        <v>125</v>
      </c>
      <c r="C9" s="9">
        <v>2021</v>
      </c>
      <c r="D9" s="9">
        <v>2022</v>
      </c>
      <c r="E9" s="9">
        <v>2023</v>
      </c>
      <c r="F9" s="9">
        <v>2024</v>
      </c>
      <c r="G9" s="9">
        <v>2025</v>
      </c>
      <c r="H9" s="27"/>
      <c r="K9" s="8" t="s">
        <v>133</v>
      </c>
      <c r="L9" s="15"/>
      <c r="M9" s="25">
        <f>ROUND(默认表格!M9*(1+学生表格!$W$3),0)</f>
        <v>624000</v>
      </c>
      <c r="N9" s="25">
        <f>ROUND(默认表格!N9*(1+学生表格!$W$3),0)</f>
        <v>1008000</v>
      </c>
      <c r="O9" s="26">
        <f>ROUND(默认表格!O9*(1+学生表格!$W$3),0)</f>
        <v>1104000</v>
      </c>
      <c r="R9" s="8" t="s">
        <v>9</v>
      </c>
      <c r="S9" s="15"/>
      <c r="T9" s="25">
        <f>ROUND(默认表格!T9*(1+学生表格!$W$3),0)</f>
        <v>3218</v>
      </c>
      <c r="U9" s="26">
        <f>ROUND(默认表格!U9*(1+学生表格!$W$3),0)</f>
        <v>4000</v>
      </c>
      <c r="W9" s="65"/>
    </row>
    <row r="10" spans="1:23" ht="16" thickBot="1" x14ac:dyDescent="0.45">
      <c r="B10" s="28" t="s">
        <v>134</v>
      </c>
      <c r="C10" s="66">
        <f>U20</f>
        <v>28000</v>
      </c>
      <c r="D10" s="66">
        <f>ROUND(默认表格!D10*(1+学生表格!$W$3),0)</f>
        <v>33600</v>
      </c>
      <c r="E10" s="66">
        <f>ROUND(默认表格!E10*(1+学生表格!$W$3),0)</f>
        <v>40320</v>
      </c>
      <c r="F10" s="66">
        <f>ROUND(默认表格!F10*(1+学生表格!$W$3),0)</f>
        <v>48384</v>
      </c>
      <c r="G10" s="66">
        <f>ROUND(默认表格!G10*(1+学生表格!$W$3),0)</f>
        <v>58060</v>
      </c>
      <c r="H10" s="7"/>
      <c r="K10" s="8" t="s">
        <v>135</v>
      </c>
      <c r="L10" s="15"/>
      <c r="M10" s="25">
        <f>ROUND(默认表格!M10*(1+学生表格!$W$3),0)</f>
        <v>130000</v>
      </c>
      <c r="N10" s="25">
        <f>ROUND(默认表格!N10*(1+学生表格!$W$3),0)</f>
        <v>195000</v>
      </c>
      <c r="O10" s="26">
        <f>ROUND(默认表格!O10*(1+学生表格!$W$3),0)</f>
        <v>220000</v>
      </c>
      <c r="R10" s="8" t="s">
        <v>32</v>
      </c>
      <c r="S10" s="15"/>
      <c r="T10" s="25">
        <f>ROUND(默认表格!T10*(1+学生表格!$W$3),0)</f>
        <v>3981</v>
      </c>
      <c r="U10" s="26">
        <f>ROUND(默认表格!U10*(1+学生表格!$W$3),0)</f>
        <v>5000</v>
      </c>
      <c r="W10" s="65"/>
    </row>
    <row r="11" spans="1:23" ht="15.5" x14ac:dyDescent="0.4">
      <c r="G11" s="30"/>
      <c r="K11" s="8" t="s">
        <v>136</v>
      </c>
      <c r="L11" s="15"/>
      <c r="M11" s="25">
        <f>ROUND(默认表格!M11*(1+学生表格!$W$3),0)</f>
        <v>390000</v>
      </c>
      <c r="N11" s="25">
        <f>ROUND(默认表格!N11*(1+学生表格!$W$3),0)</f>
        <v>390000</v>
      </c>
      <c r="O11" s="26">
        <f>ROUND(默认表格!O11*(1+学生表格!$W$3),0)</f>
        <v>390000</v>
      </c>
      <c r="R11" s="8" t="s">
        <v>11</v>
      </c>
      <c r="S11" s="15"/>
      <c r="T11" s="25">
        <f>ROUND(默认表格!T11*(1+学生表格!$W$3),0)</f>
        <v>3240</v>
      </c>
      <c r="U11" s="26">
        <f>ROUND(默认表格!U11*(1+学生表格!$W$3),0)</f>
        <v>3000</v>
      </c>
      <c r="W11" s="65"/>
    </row>
    <row r="12" spans="1:23" ht="16" thickBot="1" x14ac:dyDescent="0.45">
      <c r="K12" s="8" t="s">
        <v>137</v>
      </c>
      <c r="L12" s="15"/>
      <c r="M12" s="25">
        <f>ROUND(默认表格!M12*(1+学生表格!$W$3),0)</f>
        <v>300000</v>
      </c>
      <c r="N12" s="25">
        <f>ROUND(默认表格!N12*(1+学生表格!$W$3),0)</f>
        <v>300000</v>
      </c>
      <c r="O12" s="26">
        <f>ROUND(默认表格!O12*(1+学生表格!$W$3),0)</f>
        <v>300000</v>
      </c>
      <c r="R12" s="8" t="s">
        <v>12</v>
      </c>
      <c r="S12" s="15"/>
      <c r="T12" s="25">
        <f>ROUND(默认表格!T12*(1+学生表格!$W$3),0)</f>
        <v>1755</v>
      </c>
      <c r="U12" s="26">
        <f>ROUND(默认表格!U12*(1+学生表格!$W$3),0)</f>
        <v>2000</v>
      </c>
    </row>
    <row r="13" spans="1:23" ht="15.5" x14ac:dyDescent="0.4">
      <c r="B13" s="2" t="s">
        <v>169</v>
      </c>
      <c r="C13" s="3"/>
      <c r="D13" s="3"/>
      <c r="E13" s="3"/>
      <c r="F13" s="3"/>
      <c r="G13" s="3"/>
      <c r="H13" s="4"/>
      <c r="K13" s="8" t="s">
        <v>89</v>
      </c>
      <c r="L13" s="15"/>
      <c r="M13" s="25">
        <f>ROUND(默认表格!M13*(1+学生表格!$W$3),0)</f>
        <v>250000</v>
      </c>
      <c r="N13" s="25">
        <f>ROUND(默认表格!N13*(1+学生表格!$W$3),0)</f>
        <v>250000</v>
      </c>
      <c r="O13" s="26">
        <f>ROUND(默认表格!O13*(1+学生表格!$W$3),0)</f>
        <v>250000</v>
      </c>
      <c r="R13" s="8" t="s">
        <v>13</v>
      </c>
      <c r="S13" s="15"/>
      <c r="T13" s="25">
        <f>ROUND(默认表格!T13*(1+学生表格!$W$3),0)</f>
        <v>901</v>
      </c>
      <c r="U13" s="26">
        <f>ROUND(默认表格!U13*(1+学生表格!$W$3),0)</f>
        <v>1000</v>
      </c>
    </row>
    <row r="14" spans="1:23" ht="16" thickBot="1" x14ac:dyDescent="0.45">
      <c r="B14" s="5" t="s">
        <v>151</v>
      </c>
      <c r="C14" s="6"/>
      <c r="D14" s="6"/>
      <c r="E14" s="6"/>
      <c r="F14" s="6"/>
      <c r="G14" s="6"/>
      <c r="H14" s="7"/>
      <c r="K14" s="11" t="s">
        <v>170</v>
      </c>
      <c r="L14" s="12"/>
      <c r="M14" s="31">
        <f>ROUND(默认表格!M14*(1+学生表格!$W$3),0)</f>
        <v>400000</v>
      </c>
      <c r="N14" s="31">
        <f>ROUND(默认表格!N14*(1+学生表格!$W$3),0)</f>
        <v>400000</v>
      </c>
      <c r="O14" s="32">
        <f>ROUND(默认表格!O14*(1+学生表格!$W$3),0)</f>
        <v>400000</v>
      </c>
      <c r="R14" s="8" t="s">
        <v>15</v>
      </c>
      <c r="S14" s="15"/>
      <c r="T14" s="25">
        <f>ROUND(默认表格!T14*(1+学生表格!$W$3),0)</f>
        <v>763</v>
      </c>
      <c r="U14" s="26">
        <f>ROUND(默认表格!U14*(1+学生表格!$W$3),0)</f>
        <v>1000</v>
      </c>
    </row>
    <row r="15" spans="1:23" ht="15.5" x14ac:dyDescent="0.4">
      <c r="B15" s="8" t="s">
        <v>171</v>
      </c>
      <c r="C15" s="15"/>
      <c r="D15" s="15"/>
      <c r="E15" s="67">
        <f>ROUND(默认表格!E15*(1+学生表格!$W$3),0)</f>
        <v>1000</v>
      </c>
      <c r="F15" s="15"/>
      <c r="G15" s="15"/>
      <c r="H15" s="27"/>
      <c r="K15" s="8"/>
      <c r="L15" s="15"/>
      <c r="M15" s="15"/>
      <c r="N15" s="15"/>
      <c r="O15" s="27"/>
      <c r="R15" s="8" t="s">
        <v>16</v>
      </c>
      <c r="S15" s="15"/>
      <c r="T15" s="25">
        <f>ROUND(默认表格!T15*(1+学生表格!$W$3),0)</f>
        <v>611</v>
      </c>
      <c r="U15" s="26">
        <f>ROUND(默认表格!U15*(1+学生表格!$W$3),0)</f>
        <v>1000</v>
      </c>
    </row>
    <row r="16" spans="1:23" ht="15.5" x14ac:dyDescent="0.4">
      <c r="B16" s="34"/>
      <c r="C16" s="22"/>
      <c r="D16" s="22"/>
      <c r="E16" s="23"/>
      <c r="F16" s="22"/>
      <c r="G16" s="22"/>
      <c r="H16" s="24"/>
      <c r="K16" s="11"/>
      <c r="L16" s="12"/>
      <c r="M16" s="13" t="s">
        <v>147</v>
      </c>
      <c r="N16" s="13" t="s">
        <v>138</v>
      </c>
      <c r="O16" s="14" t="s">
        <v>72</v>
      </c>
      <c r="R16" s="8" t="s">
        <v>19</v>
      </c>
      <c r="S16" s="15"/>
      <c r="T16" s="25">
        <f>ROUND(默认表格!T16*(1+学生表格!$W$3),0)</f>
        <v>1622</v>
      </c>
      <c r="U16" s="26">
        <f>ROUND(默认表格!U16*(1+学生表格!$W$3),0)</f>
        <v>2000</v>
      </c>
    </row>
    <row r="17" spans="2:21" ht="15.5" x14ac:dyDescent="0.4">
      <c r="B17" s="8" t="s">
        <v>33</v>
      </c>
      <c r="C17" s="15"/>
      <c r="D17" s="15"/>
      <c r="E17" s="18">
        <f>ROUND(默认表格!E17*(1+学生表格!$W$3),0)</f>
        <v>300</v>
      </c>
      <c r="F17" s="68"/>
      <c r="G17" s="15"/>
      <c r="H17" s="27"/>
      <c r="K17" s="8" t="s">
        <v>152</v>
      </c>
      <c r="L17" s="15"/>
      <c r="M17" s="20">
        <f>ROUND(默认表格!M17*(1+学生表格!$W$3),0)</f>
        <v>552000</v>
      </c>
      <c r="N17" s="20">
        <f>ROUND(默认表格!N17*(1+学生表格!$W$3),0)</f>
        <v>336000</v>
      </c>
      <c r="O17" s="37">
        <f>ROUND(默认表格!O17*(1+学生表格!$W$3),0)</f>
        <v>240000</v>
      </c>
      <c r="R17" s="8" t="s">
        <v>20</v>
      </c>
      <c r="S17" s="15"/>
      <c r="T17" s="25">
        <f>ROUND(默认表格!T17*(1+学生表格!$W$3),0)</f>
        <v>1678</v>
      </c>
      <c r="U17" s="26">
        <f>ROUND(默认表格!U17*(1+学生表格!$W$3),0)</f>
        <v>2000</v>
      </c>
    </row>
    <row r="18" spans="2:21" ht="16" thickBot="1" x14ac:dyDescent="0.45">
      <c r="B18" s="28" t="s">
        <v>153</v>
      </c>
      <c r="C18" s="6"/>
      <c r="D18" s="38" t="s">
        <v>0</v>
      </c>
      <c r="E18" s="39">
        <v>0.2</v>
      </c>
      <c r="F18" s="6"/>
      <c r="G18" s="6"/>
      <c r="H18" s="7"/>
      <c r="K18" s="8" t="s">
        <v>131</v>
      </c>
      <c r="L18" s="15"/>
      <c r="M18" s="25">
        <f>ROUND(默认表格!M18*(1+学生表格!$W$3),0)</f>
        <v>138000</v>
      </c>
      <c r="N18" s="25">
        <f>ROUND(默认表格!N18*(1+学生表格!$W$3),0)</f>
        <v>84000</v>
      </c>
      <c r="O18" s="26">
        <f>ROUND(默认表格!O18*(1+学生表格!$W$3),0)</f>
        <v>90000</v>
      </c>
      <c r="R18" s="8" t="s">
        <v>22</v>
      </c>
      <c r="S18" s="15"/>
      <c r="T18" s="25">
        <f>ROUND(默认表格!T18*(1+学生表格!$W$3),0)</f>
        <v>1439</v>
      </c>
      <c r="U18" s="26">
        <f>ROUND(默认表格!U18*(1+学生表格!$W$3),0)</f>
        <v>2000</v>
      </c>
    </row>
    <row r="19" spans="2:21" ht="15.5" x14ac:dyDescent="0.4">
      <c r="K19" s="8" t="s">
        <v>133</v>
      </c>
      <c r="L19" s="15"/>
      <c r="M19" s="25">
        <f>ROUND(默认表格!M19*(1+学生表格!$W$3),0)</f>
        <v>672000</v>
      </c>
      <c r="N19" s="25">
        <f>ROUND(默认表格!N19*(1+学生表格!$W$3),0)</f>
        <v>432000</v>
      </c>
      <c r="O19" s="26">
        <f>ROUND(默认表格!O19*(1+学生表格!$W$3),0)</f>
        <v>240000</v>
      </c>
      <c r="R19" s="11" t="s">
        <v>24</v>
      </c>
      <c r="S19" s="12"/>
      <c r="T19" s="31">
        <f>ROUND(默认表格!T19*(1+学生表格!$W$3),0)</f>
        <v>2131</v>
      </c>
      <c r="U19" s="32">
        <f>ROUND(默认表格!U19*(1+学生表格!$W$3),0)</f>
        <v>2500</v>
      </c>
    </row>
    <row r="20" spans="2:21" ht="16" thickBot="1" x14ac:dyDescent="0.45">
      <c r="K20" s="8" t="s">
        <v>54</v>
      </c>
      <c r="L20" s="15"/>
      <c r="M20" s="25">
        <f>ROUND(默认表格!M20*(1+学生表格!$W$3),0)</f>
        <v>135000</v>
      </c>
      <c r="N20" s="25">
        <f>ROUND(默认表格!N20*(1+学生表格!$W$3),0)</f>
        <v>110000</v>
      </c>
      <c r="O20" s="26">
        <f>ROUND(默认表格!O20*(1+学生表格!$W$3),0)</f>
        <v>110000</v>
      </c>
      <c r="R20" s="28" t="s">
        <v>156</v>
      </c>
      <c r="S20" s="6"/>
      <c r="T20" s="29">
        <f>SUM(T8:T19)</f>
        <v>23322</v>
      </c>
      <c r="U20" s="41">
        <f>SUM(U8:U19)</f>
        <v>28000</v>
      </c>
    </row>
    <row r="21" spans="2:21" ht="15.5" x14ac:dyDescent="0.4">
      <c r="B21" s="2" t="s">
        <v>172</v>
      </c>
      <c r="C21" s="3"/>
      <c r="D21" s="3"/>
      <c r="E21" s="3"/>
      <c r="F21" s="3"/>
      <c r="G21" s="3"/>
      <c r="H21" s="4"/>
      <c r="K21" s="8" t="s">
        <v>136</v>
      </c>
      <c r="L21" s="15"/>
      <c r="M21" s="25">
        <f>ROUND(默认表格!M21*(1+学生表格!$W$3),0)</f>
        <v>340000</v>
      </c>
      <c r="N21" s="25">
        <f>ROUND(默认表格!N21*(1+学生表格!$W$3),0)</f>
        <v>340000</v>
      </c>
      <c r="O21" s="26">
        <f>ROUND(默认表格!O21*(1+学生表格!$W$3),0)</f>
        <v>340000</v>
      </c>
    </row>
    <row r="22" spans="2:21" ht="16" thickBot="1" x14ac:dyDescent="0.45">
      <c r="B22" s="5" t="s">
        <v>154</v>
      </c>
      <c r="C22" s="6"/>
      <c r="D22" s="6"/>
      <c r="E22" s="6"/>
      <c r="F22" s="6"/>
      <c r="G22" s="6"/>
      <c r="H22" s="7"/>
      <c r="K22" s="8" t="s">
        <v>137</v>
      </c>
      <c r="L22" s="15"/>
      <c r="M22" s="25">
        <f>ROUND(默认表格!M22*(1+学生表格!$W$3),0)</f>
        <v>300000</v>
      </c>
      <c r="N22" s="25">
        <f>ROUND(默认表格!N22*(1+学生表格!$W$3),0)</f>
        <v>300000</v>
      </c>
      <c r="O22" s="26">
        <f>ROUND(默认表格!O22*(1+学生表格!$W$3),0)</f>
        <v>300000</v>
      </c>
    </row>
    <row r="23" spans="2:21" ht="15.5" x14ac:dyDescent="0.4">
      <c r="B23" s="8" t="s">
        <v>148</v>
      </c>
      <c r="C23" s="15"/>
      <c r="D23" s="15"/>
      <c r="E23" s="15"/>
      <c r="F23" s="67">
        <f>ROUND(默认表格!F23*(1+学生表格!$W$3),0)</f>
        <v>30</v>
      </c>
      <c r="G23" s="15"/>
      <c r="H23" s="27"/>
      <c r="K23" s="8" t="s">
        <v>173</v>
      </c>
      <c r="L23" s="15"/>
      <c r="M23" s="25">
        <f>ROUND(默认表格!M23*(1+学生表格!$W$3),0)</f>
        <v>275000</v>
      </c>
      <c r="N23" s="25">
        <f>ROUND(默认表格!N23*(1+学生表格!$W$3),0)</f>
        <v>275000</v>
      </c>
      <c r="O23" s="26">
        <f>ROUND(默认表格!O23*(1+学生表格!$W$3),0)</f>
        <v>275000</v>
      </c>
      <c r="R23" s="2" t="s">
        <v>76</v>
      </c>
      <c r="S23" s="3"/>
      <c r="T23" s="3"/>
      <c r="U23" s="4"/>
    </row>
    <row r="24" spans="2:21" ht="16" thickBot="1" x14ac:dyDescent="0.45">
      <c r="B24" s="34"/>
      <c r="C24" s="22"/>
      <c r="D24" s="22"/>
      <c r="E24" s="23"/>
      <c r="F24" s="22"/>
      <c r="G24" s="22"/>
      <c r="H24" s="24"/>
      <c r="K24" s="28" t="s">
        <v>170</v>
      </c>
      <c r="L24" s="6"/>
      <c r="M24" s="43">
        <f>ROUND(默认表格!M24*(1+学生表格!$W$3),0)</f>
        <v>400000</v>
      </c>
      <c r="N24" s="43">
        <f>ROUND(默认表格!N24*(1+学生表格!$W$3),0)</f>
        <v>400000</v>
      </c>
      <c r="O24" s="44">
        <f>ROUND(默认表格!O24*(1+学生表格!$W$3),0)</f>
        <v>400000</v>
      </c>
      <c r="R24" s="5" t="s">
        <v>139</v>
      </c>
      <c r="S24" s="6"/>
      <c r="T24" s="6"/>
      <c r="U24" s="7"/>
    </row>
    <row r="25" spans="2:21" ht="15.5" x14ac:dyDescent="0.4">
      <c r="B25" s="8" t="s">
        <v>140</v>
      </c>
      <c r="C25" s="15"/>
      <c r="D25" s="15"/>
      <c r="E25" s="15"/>
      <c r="F25" s="69">
        <f>ROUND(默认表格!F25*(1+学生表格!$W$3),2)</f>
        <v>15</v>
      </c>
      <c r="G25" s="15"/>
      <c r="H25" s="27"/>
      <c r="R25" s="8" t="s">
        <v>174</v>
      </c>
      <c r="S25" s="15"/>
      <c r="T25" s="15"/>
      <c r="U25" s="37">
        <f>T18*1000</f>
        <v>1439000</v>
      </c>
    </row>
    <row r="26" spans="2:21" ht="16" thickBot="1" x14ac:dyDescent="0.45">
      <c r="B26" s="28" t="s">
        <v>175</v>
      </c>
      <c r="C26" s="6"/>
      <c r="D26" s="6"/>
      <c r="E26" s="6"/>
      <c r="F26" s="70">
        <f>ROUND(默认表格!F26*(1+学生表格!$W$3),2)</f>
        <v>8</v>
      </c>
      <c r="G26" s="6"/>
      <c r="H26" s="7"/>
      <c r="R26" s="8" t="s">
        <v>176</v>
      </c>
      <c r="S26" s="15"/>
      <c r="T26" s="15"/>
      <c r="U26" s="37">
        <f>T19*1000</f>
        <v>2131000</v>
      </c>
    </row>
    <row r="27" spans="2:21" ht="15.5" x14ac:dyDescent="0.4">
      <c r="K27" s="2" t="s">
        <v>177</v>
      </c>
      <c r="L27" s="3"/>
      <c r="M27" s="3"/>
      <c r="N27" s="3"/>
      <c r="O27" s="4"/>
      <c r="R27" s="8" t="s">
        <v>178</v>
      </c>
      <c r="S27" s="15"/>
      <c r="T27" s="15"/>
      <c r="U27" s="37">
        <f>U8*1000</f>
        <v>2500000</v>
      </c>
    </row>
    <row r="28" spans="2:21" ht="16" thickBot="1" x14ac:dyDescent="0.45">
      <c r="K28" s="47"/>
      <c r="L28" s="15"/>
      <c r="M28" s="15"/>
      <c r="N28" s="15"/>
      <c r="O28" s="27"/>
      <c r="R28" s="8" t="s">
        <v>179</v>
      </c>
      <c r="S28" s="15"/>
      <c r="T28" s="15"/>
      <c r="U28" s="37">
        <f t="shared" ref="U28:U30" si="0">U9*1000</f>
        <v>4000000</v>
      </c>
    </row>
    <row r="29" spans="2:21" ht="16" thickBot="1" x14ac:dyDescent="0.45">
      <c r="B29" s="2" t="s">
        <v>180</v>
      </c>
      <c r="C29" s="3"/>
      <c r="D29" s="3"/>
      <c r="E29" s="3"/>
      <c r="F29" s="4"/>
      <c r="K29" s="5" t="s">
        <v>181</v>
      </c>
      <c r="L29" s="6"/>
      <c r="M29" s="6"/>
      <c r="N29" s="6"/>
      <c r="O29" s="7"/>
      <c r="R29" s="8" t="s">
        <v>79</v>
      </c>
      <c r="S29" s="15"/>
      <c r="T29" s="15"/>
      <c r="U29" s="37">
        <f t="shared" si="0"/>
        <v>5000000</v>
      </c>
    </row>
    <row r="30" spans="2:21" ht="16" thickBot="1" x14ac:dyDescent="0.45">
      <c r="B30" s="5" t="s">
        <v>157</v>
      </c>
      <c r="C30" s="48"/>
      <c r="D30" s="6"/>
      <c r="E30" s="6"/>
      <c r="F30" s="7"/>
      <c r="K30" s="8" t="s">
        <v>149</v>
      </c>
      <c r="L30" s="15"/>
      <c r="M30" s="49">
        <f>ROUND(默认表格!M30*(1+学生表格!$W$3),0)</f>
        <v>700000</v>
      </c>
      <c r="N30" s="15"/>
      <c r="O30" s="27"/>
      <c r="R30" s="8" t="s">
        <v>182</v>
      </c>
      <c r="S30" s="15"/>
      <c r="T30" s="15"/>
      <c r="U30" s="37">
        <f t="shared" si="0"/>
        <v>3000000</v>
      </c>
    </row>
    <row r="31" spans="2:21" ht="16" thickBot="1" x14ac:dyDescent="0.45">
      <c r="B31" s="50">
        <f>ROUND(默认表格!B31*(1+学生表格!$W$3),2)</f>
        <v>8</v>
      </c>
      <c r="C31" s="6" t="s">
        <v>158</v>
      </c>
      <c r="D31" s="6"/>
      <c r="E31" s="6"/>
      <c r="F31" s="7"/>
      <c r="K31" s="28" t="s">
        <v>40</v>
      </c>
      <c r="L31" s="6"/>
      <c r="M31" s="51">
        <f>ROUND(默认表格!M31*(1+学生表格!$W$3),0)</f>
        <v>150000</v>
      </c>
      <c r="N31" s="6"/>
      <c r="O31" s="7"/>
      <c r="R31" s="8" t="s">
        <v>80</v>
      </c>
      <c r="S31" s="15"/>
      <c r="T31" s="15"/>
      <c r="U31" s="37">
        <f>U12*1100</f>
        <v>2200000</v>
      </c>
    </row>
    <row r="32" spans="2:21" ht="16" thickBot="1" x14ac:dyDescent="0.45">
      <c r="R32" s="28" t="s">
        <v>161</v>
      </c>
      <c r="S32" s="6"/>
      <c r="T32" s="6"/>
      <c r="U32" s="52">
        <f>U13*1100</f>
        <v>1100000</v>
      </c>
    </row>
    <row r="33" spans="2:21" ht="14.5" thickBot="1" x14ac:dyDescent="0.35"/>
    <row r="34" spans="2:21" ht="15.5" x14ac:dyDescent="0.4">
      <c r="B34" s="2" t="s">
        <v>183</v>
      </c>
      <c r="C34" s="3"/>
      <c r="D34" s="3"/>
      <c r="E34" s="3"/>
      <c r="F34" s="3"/>
      <c r="G34" s="3"/>
      <c r="H34" s="4"/>
      <c r="K34" s="2" t="s">
        <v>184</v>
      </c>
      <c r="L34" s="3"/>
      <c r="M34" s="3"/>
      <c r="N34" s="3"/>
      <c r="O34" s="4"/>
      <c r="R34" s="2" t="s">
        <v>185</v>
      </c>
      <c r="S34" s="3"/>
      <c r="T34" s="3"/>
      <c r="U34" s="4"/>
    </row>
    <row r="35" spans="2:21" ht="16" thickBot="1" x14ac:dyDescent="0.45">
      <c r="B35" s="5" t="s">
        <v>141</v>
      </c>
      <c r="C35" s="6"/>
      <c r="D35" s="6"/>
      <c r="E35" s="6"/>
      <c r="F35" s="6"/>
      <c r="G35" s="6"/>
      <c r="H35" s="7"/>
      <c r="K35" s="5" t="s">
        <v>162</v>
      </c>
      <c r="L35" s="6"/>
      <c r="M35" s="6"/>
      <c r="N35" s="6"/>
      <c r="O35" s="7"/>
      <c r="R35" s="5" t="s">
        <v>145</v>
      </c>
      <c r="S35" s="6"/>
      <c r="T35" s="6"/>
      <c r="U35" s="7"/>
    </row>
    <row r="36" spans="2:21" ht="15.5" x14ac:dyDescent="0.4">
      <c r="B36" s="8" t="s">
        <v>142</v>
      </c>
      <c r="C36" s="15"/>
      <c r="D36" s="15"/>
      <c r="E36" s="53">
        <v>0.5</v>
      </c>
      <c r="F36" s="15" t="s">
        <v>186</v>
      </c>
      <c r="G36" s="15"/>
      <c r="H36" s="27"/>
      <c r="K36" s="8" t="s">
        <v>25</v>
      </c>
      <c r="L36" s="15"/>
      <c r="M36" s="15"/>
      <c r="N36" s="15"/>
      <c r="O36" s="54">
        <f>ROUND(默认表格!O36*(1+学生表格!$W$3),0)</f>
        <v>800000</v>
      </c>
      <c r="R36" s="71" t="s">
        <v>26</v>
      </c>
      <c r="S36" s="55"/>
      <c r="T36" s="55"/>
      <c r="U36" s="56"/>
    </row>
    <row r="37" spans="2:21" ht="15.5" x14ac:dyDescent="0.4">
      <c r="B37" s="8" t="s">
        <v>1</v>
      </c>
      <c r="C37" s="15"/>
      <c r="D37" s="15"/>
      <c r="E37" s="15"/>
      <c r="F37" s="15"/>
      <c r="G37" s="15"/>
      <c r="H37" s="27"/>
      <c r="K37" s="8" t="s">
        <v>143</v>
      </c>
      <c r="L37" s="15"/>
      <c r="M37" s="15"/>
      <c r="N37" s="15"/>
      <c r="O37" s="57">
        <v>90</v>
      </c>
      <c r="R37" s="8" t="s">
        <v>146</v>
      </c>
      <c r="S37" s="15"/>
      <c r="T37" s="15"/>
      <c r="U37" s="58">
        <v>0.25</v>
      </c>
    </row>
    <row r="38" spans="2:21" ht="15.5" x14ac:dyDescent="0.4">
      <c r="B38" s="34"/>
      <c r="C38" s="22"/>
      <c r="D38" s="22"/>
      <c r="E38" s="23"/>
      <c r="F38" s="22"/>
      <c r="G38" s="22"/>
      <c r="H38" s="24"/>
      <c r="K38" s="34"/>
      <c r="L38" s="22"/>
      <c r="M38" s="22"/>
      <c r="N38" s="22"/>
      <c r="O38" s="24"/>
      <c r="R38" s="8" t="s">
        <v>144</v>
      </c>
      <c r="S38" s="15"/>
      <c r="T38" s="15"/>
      <c r="U38" s="58">
        <v>0.1</v>
      </c>
    </row>
    <row r="39" spans="2:21" ht="16" thickBot="1" x14ac:dyDescent="0.45">
      <c r="B39" s="8" t="s">
        <v>187</v>
      </c>
      <c r="C39" s="15"/>
      <c r="D39" s="15"/>
      <c r="E39" s="35">
        <f>ROUND(默认表格!E39*(1+学生表格!$W$3),0)</f>
        <v>39000</v>
      </c>
      <c r="F39" s="33" t="s">
        <v>188</v>
      </c>
      <c r="G39" s="15"/>
      <c r="H39" s="27"/>
      <c r="K39" s="28" t="s">
        <v>159</v>
      </c>
      <c r="L39" s="6"/>
      <c r="M39" s="6"/>
      <c r="N39" s="6"/>
      <c r="O39" s="60">
        <f>ROUND(默认表格!O39*(1+学生表格!$W$3),0)</f>
        <v>100000</v>
      </c>
      <c r="R39" s="8" t="s">
        <v>29</v>
      </c>
      <c r="S39" s="15"/>
      <c r="T39" s="15"/>
      <c r="U39" s="58">
        <v>0.6</v>
      </c>
    </row>
    <row r="40" spans="2:21" ht="16" thickBot="1" x14ac:dyDescent="0.45">
      <c r="B40" s="28"/>
      <c r="C40" s="6"/>
      <c r="D40" s="6"/>
      <c r="E40" s="6"/>
      <c r="F40" s="6"/>
      <c r="G40" s="6"/>
      <c r="H40" s="7"/>
      <c r="R40" s="28" t="s">
        <v>86</v>
      </c>
      <c r="S40" s="6"/>
      <c r="T40" s="6"/>
      <c r="U40" s="61"/>
    </row>
    <row r="41" spans="2:21" ht="14.5" thickBot="1" x14ac:dyDescent="0.35"/>
    <row r="42" spans="2:21" ht="15.5" x14ac:dyDescent="0.4">
      <c r="K42" s="62"/>
      <c r="L42" s="62"/>
      <c r="M42" s="62"/>
      <c r="R42" s="2" t="s">
        <v>189</v>
      </c>
      <c r="S42" s="3"/>
      <c r="T42" s="3"/>
      <c r="U42" s="4"/>
    </row>
    <row r="43" spans="2:21" ht="16" thickBot="1" x14ac:dyDescent="0.45">
      <c r="R43" s="5" t="s">
        <v>155</v>
      </c>
      <c r="S43" s="6"/>
      <c r="T43" s="6"/>
      <c r="U43" s="7"/>
    </row>
    <row r="44" spans="2:21" ht="15.5" x14ac:dyDescent="0.4">
      <c r="R44" s="8" t="s">
        <v>190</v>
      </c>
      <c r="S44" s="15"/>
      <c r="T44" s="15"/>
      <c r="U44" s="57">
        <f>ROUND(默认表格!U44*(1+学生表格!$W$3),0)</f>
        <v>3000</v>
      </c>
    </row>
    <row r="45" spans="2:21" ht="16" thickBot="1" x14ac:dyDescent="0.45">
      <c r="R45" s="28" t="s">
        <v>191</v>
      </c>
      <c r="S45" s="6"/>
      <c r="T45" s="6"/>
      <c r="U45" s="41">
        <f>ROUND(默认表格!U45*(1+学生表格!$W$3),0)</f>
        <v>3500</v>
      </c>
    </row>
  </sheetData>
  <mergeCells count="2">
    <mergeCell ref="A1:U1"/>
    <mergeCell ref="A2:U2"/>
  </mergeCells>
  <phoneticPr fontId="2" type="noConversion"/>
  <pageMargins left="0.7" right="0.7" top="0.75" bottom="0.75" header="0.3" footer="0.3"/>
  <pageSetup orientation="portrait" r:id="rId1"/>
  <colBreaks count="2" manualBreakCount="2">
    <brk id="9" max="1048575" man="1"/>
    <brk id="16" max="1048575" man="1"/>
  </col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4" zoomScale="85" zoomScaleNormal="85" workbookViewId="0">
      <selection activeCell="A22" sqref="A22:H22"/>
    </sheetView>
  </sheetViews>
  <sheetFormatPr defaultColWidth="8.9140625" defaultRowHeight="15.5" x14ac:dyDescent="0.4"/>
  <cols>
    <col min="1" max="1" width="30.08203125" style="155" customWidth="1"/>
    <col min="2" max="9" width="13.6640625" style="1" bestFit="1" customWidth="1"/>
    <col min="10" max="16384" width="8.9140625" style="1"/>
  </cols>
  <sheetData>
    <row r="1" spans="1:8" ht="16" thickBot="1" x14ac:dyDescent="0.45">
      <c r="A1" s="142" t="s">
        <v>209</v>
      </c>
      <c r="B1" s="143"/>
      <c r="C1" s="143"/>
      <c r="D1" s="143"/>
      <c r="E1" s="143"/>
      <c r="F1" s="143"/>
      <c r="G1" s="143"/>
      <c r="H1" s="144"/>
    </row>
    <row r="2" spans="1:8" s="73" customFormat="1" ht="14" x14ac:dyDescent="0.3">
      <c r="A2" s="184"/>
      <c r="B2" s="182" t="s">
        <v>192</v>
      </c>
      <c r="C2" s="182" t="s">
        <v>193</v>
      </c>
      <c r="D2" s="182" t="s">
        <v>194</v>
      </c>
      <c r="E2" s="182" t="s">
        <v>195</v>
      </c>
      <c r="F2" s="182" t="s">
        <v>270</v>
      </c>
      <c r="G2" s="182" t="s">
        <v>196</v>
      </c>
      <c r="H2" s="183" t="s">
        <v>197</v>
      </c>
    </row>
    <row r="3" spans="1:8" x14ac:dyDescent="0.4">
      <c r="A3" s="185" t="s">
        <v>228</v>
      </c>
      <c r="B3" s="74"/>
      <c r="C3" s="74"/>
      <c r="D3" s="74"/>
      <c r="E3" s="75"/>
      <c r="F3" s="75"/>
      <c r="G3" s="75"/>
      <c r="H3" s="76"/>
    </row>
    <row r="4" spans="1:8" x14ac:dyDescent="0.4">
      <c r="A4" s="186" t="s">
        <v>229</v>
      </c>
      <c r="B4" s="77"/>
      <c r="C4" s="77"/>
      <c r="D4" s="77"/>
      <c r="E4" s="77"/>
      <c r="F4" s="77"/>
      <c r="G4" s="77"/>
      <c r="H4" s="78"/>
    </row>
    <row r="5" spans="1:8" x14ac:dyDescent="0.4">
      <c r="A5" s="187" t="s">
        <v>230</v>
      </c>
      <c r="B5" s="79"/>
      <c r="C5" s="79"/>
      <c r="D5" s="79"/>
      <c r="E5" s="79"/>
      <c r="F5" s="79"/>
      <c r="G5" s="79"/>
      <c r="H5" s="80"/>
    </row>
    <row r="6" spans="1:8" s="62" customFormat="1" x14ac:dyDescent="0.4">
      <c r="A6" s="186" t="s">
        <v>231</v>
      </c>
      <c r="B6" s="77"/>
      <c r="C6" s="77"/>
      <c r="D6" s="77"/>
      <c r="E6" s="77"/>
      <c r="F6" s="77"/>
      <c r="G6" s="77"/>
      <c r="H6" s="78"/>
    </row>
    <row r="7" spans="1:8" s="73" customFormat="1" x14ac:dyDescent="0.4">
      <c r="A7" s="188" t="s">
        <v>232</v>
      </c>
      <c r="B7" s="81"/>
      <c r="C7" s="81"/>
      <c r="D7" s="81"/>
      <c r="E7" s="81"/>
      <c r="F7" s="81"/>
      <c r="G7" s="81"/>
      <c r="H7" s="82"/>
    </row>
    <row r="8" spans="1:8" ht="16" thickBot="1" x14ac:dyDescent="0.45">
      <c r="A8" s="189"/>
    </row>
    <row r="9" spans="1:8" ht="16" thickBot="1" x14ac:dyDescent="0.45">
      <c r="A9" s="142" t="s">
        <v>202</v>
      </c>
      <c r="B9" s="143"/>
      <c r="C9" s="143"/>
      <c r="D9" s="143"/>
      <c r="E9" s="143"/>
      <c r="F9" s="143"/>
      <c r="G9" s="143"/>
      <c r="H9" s="144"/>
    </row>
    <row r="10" spans="1:8" s="73" customFormat="1" ht="14" x14ac:dyDescent="0.3">
      <c r="A10" s="184"/>
      <c r="B10" s="182" t="s">
        <v>192</v>
      </c>
      <c r="C10" s="182" t="s">
        <v>193</v>
      </c>
      <c r="D10" s="182" t="s">
        <v>194</v>
      </c>
      <c r="E10" s="182" t="s">
        <v>195</v>
      </c>
      <c r="F10" s="182" t="s">
        <v>271</v>
      </c>
      <c r="G10" s="182" t="s">
        <v>196</v>
      </c>
      <c r="H10" s="183" t="s">
        <v>197</v>
      </c>
    </row>
    <row r="11" spans="1:8" x14ac:dyDescent="0.4">
      <c r="A11" s="151" t="s">
        <v>233</v>
      </c>
      <c r="B11" s="74"/>
      <c r="C11" s="74"/>
      <c r="D11" s="74"/>
      <c r="E11" s="74"/>
      <c r="F11" s="74"/>
      <c r="G11" s="74"/>
      <c r="H11" s="76"/>
    </row>
    <row r="12" spans="1:8" x14ac:dyDescent="0.4">
      <c r="A12" s="156" t="s">
        <v>234</v>
      </c>
      <c r="B12" s="83"/>
      <c r="C12" s="83"/>
      <c r="D12" s="83"/>
      <c r="E12" s="83"/>
      <c r="F12" s="83"/>
      <c r="G12" s="83"/>
      <c r="H12" s="84"/>
    </row>
    <row r="13" spans="1:8" s="73" customFormat="1" x14ac:dyDescent="0.4">
      <c r="A13" s="157" t="s">
        <v>235</v>
      </c>
      <c r="B13" s="85"/>
      <c r="C13" s="85"/>
      <c r="D13" s="85"/>
      <c r="E13" s="85"/>
      <c r="F13" s="85"/>
      <c r="G13" s="85"/>
      <c r="H13" s="86"/>
    </row>
    <row r="14" spans="1:8" x14ac:dyDescent="0.4">
      <c r="A14" s="158" t="s">
        <v>229</v>
      </c>
      <c r="B14" s="87"/>
      <c r="C14" s="87"/>
      <c r="D14" s="87"/>
      <c r="E14" s="87"/>
      <c r="F14" s="87"/>
      <c r="G14" s="87"/>
      <c r="H14" s="88"/>
    </row>
    <row r="15" spans="1:8" s="73" customFormat="1" x14ac:dyDescent="0.4">
      <c r="A15" s="157" t="s">
        <v>236</v>
      </c>
      <c r="B15" s="85"/>
      <c r="C15" s="85"/>
      <c r="D15" s="85"/>
      <c r="E15" s="85"/>
      <c r="F15" s="85"/>
      <c r="G15" s="85"/>
      <c r="H15" s="86"/>
    </row>
    <row r="16" spans="1:8" x14ac:dyDescent="0.4">
      <c r="A16" s="159" t="s">
        <v>237</v>
      </c>
      <c r="B16" s="90"/>
      <c r="C16" s="87"/>
      <c r="D16" s="87"/>
      <c r="E16" s="87"/>
      <c r="F16" s="87"/>
      <c r="G16" s="87"/>
      <c r="H16" s="91"/>
    </row>
    <row r="17" spans="1:8" s="73" customFormat="1" x14ac:dyDescent="0.4">
      <c r="A17" s="157" t="s">
        <v>238</v>
      </c>
      <c r="B17" s="85"/>
      <c r="C17" s="85"/>
      <c r="D17" s="85"/>
      <c r="E17" s="85"/>
      <c r="F17" s="85"/>
      <c r="G17" s="85"/>
      <c r="H17" s="86"/>
    </row>
    <row r="18" spans="1:8" x14ac:dyDescent="0.4">
      <c r="A18" s="160" t="s">
        <v>239</v>
      </c>
      <c r="B18" s="92"/>
      <c r="C18" s="92"/>
      <c r="D18" s="92"/>
      <c r="E18" s="92"/>
      <c r="F18" s="92"/>
      <c r="G18" s="92"/>
      <c r="H18" s="93"/>
    </row>
    <row r="19" spans="1:8" s="73" customFormat="1" x14ac:dyDescent="0.4">
      <c r="A19" s="161" t="s">
        <v>240</v>
      </c>
      <c r="B19" s="94"/>
      <c r="C19" s="94"/>
      <c r="D19" s="94"/>
      <c r="E19" s="94"/>
      <c r="F19" s="94"/>
      <c r="G19" s="94"/>
      <c r="H19" s="95"/>
    </row>
    <row r="20" spans="1:8" ht="16" thickBot="1" x14ac:dyDescent="0.45"/>
    <row r="21" spans="1:8" ht="16" thickBot="1" x14ac:dyDescent="0.45">
      <c r="A21" s="142" t="s">
        <v>199</v>
      </c>
      <c r="B21" s="143"/>
      <c r="C21" s="143"/>
      <c r="D21" s="143"/>
      <c r="E21" s="143"/>
      <c r="F21" s="143"/>
      <c r="G21" s="143"/>
      <c r="H21" s="144"/>
    </row>
    <row r="22" spans="1:8" s="73" customFormat="1" ht="14" x14ac:dyDescent="0.3">
      <c r="A22" s="184"/>
      <c r="B22" s="182" t="s">
        <v>192</v>
      </c>
      <c r="C22" s="182" t="s">
        <v>193</v>
      </c>
      <c r="D22" s="182" t="s">
        <v>194</v>
      </c>
      <c r="E22" s="182" t="s">
        <v>195</v>
      </c>
      <c r="F22" s="182" t="s">
        <v>272</v>
      </c>
      <c r="G22" s="182" t="s">
        <v>196</v>
      </c>
      <c r="H22" s="183" t="s">
        <v>197</v>
      </c>
    </row>
    <row r="23" spans="1:8" x14ac:dyDescent="0.4">
      <c r="A23" s="162" t="s">
        <v>241</v>
      </c>
      <c r="B23" s="96"/>
      <c r="C23" s="96"/>
      <c r="D23" s="96"/>
      <c r="E23" s="96"/>
      <c r="F23" s="96"/>
      <c r="G23" s="96"/>
      <c r="H23" s="97"/>
    </row>
    <row r="24" spans="1:8" x14ac:dyDescent="0.4">
      <c r="A24" s="162" t="s">
        <v>242</v>
      </c>
      <c r="B24" s="96"/>
      <c r="C24" s="96"/>
      <c r="D24" s="96"/>
      <c r="E24" s="96"/>
      <c r="F24" s="96"/>
      <c r="G24" s="96"/>
      <c r="H24" s="97"/>
    </row>
    <row r="25" spans="1:8" s="73" customFormat="1" x14ac:dyDescent="0.4">
      <c r="A25" s="162" t="s">
        <v>243</v>
      </c>
      <c r="B25" s="96"/>
      <c r="C25" s="96"/>
      <c r="D25" s="96"/>
      <c r="E25" s="96"/>
      <c r="F25" s="96"/>
      <c r="G25" s="96"/>
      <c r="H25" s="97"/>
    </row>
    <row r="26" spans="1:8" x14ac:dyDescent="0.4">
      <c r="A26" s="163" t="s">
        <v>244</v>
      </c>
      <c r="B26" s="96"/>
      <c r="C26" s="96"/>
      <c r="D26" s="96"/>
      <c r="E26" s="96"/>
      <c r="F26" s="96"/>
      <c r="G26" s="96"/>
      <c r="H26" s="97"/>
    </row>
    <row r="27" spans="1:8" x14ac:dyDescent="0.4">
      <c r="A27" s="163" t="s">
        <v>245</v>
      </c>
      <c r="B27" s="96"/>
      <c r="C27" s="96"/>
      <c r="D27" s="96"/>
      <c r="E27" s="96"/>
      <c r="F27" s="96"/>
      <c r="G27" s="96"/>
      <c r="H27" s="97"/>
    </row>
    <row r="28" spans="1:8" x14ac:dyDescent="0.4">
      <c r="A28" s="164" t="s">
        <v>246</v>
      </c>
      <c r="B28" s="98"/>
      <c r="C28" s="98"/>
      <c r="D28" s="98"/>
      <c r="E28" s="98"/>
      <c r="F28" s="98"/>
      <c r="G28" s="98"/>
      <c r="H28" s="99"/>
    </row>
    <row r="29" spans="1:8" x14ac:dyDescent="0.4">
      <c r="A29" s="165" t="s">
        <v>247</v>
      </c>
      <c r="B29" s="100"/>
      <c r="C29" s="100"/>
      <c r="D29" s="100"/>
      <c r="E29" s="100"/>
      <c r="F29" s="100"/>
      <c r="G29" s="100"/>
      <c r="H29" s="101"/>
    </row>
    <row r="30" spans="1:8" x14ac:dyDescent="0.4">
      <c r="A30" s="166" t="s">
        <v>248</v>
      </c>
      <c r="B30" s="62"/>
      <c r="C30" s="62"/>
      <c r="D30" s="62"/>
      <c r="E30" s="62"/>
      <c r="F30" s="62"/>
      <c r="G30" s="62"/>
      <c r="H30" s="102"/>
    </row>
    <row r="31" spans="1:8" x14ac:dyDescent="0.4">
      <c r="A31" s="167" t="s">
        <v>249</v>
      </c>
      <c r="B31" s="103"/>
      <c r="C31" s="103"/>
      <c r="D31" s="103"/>
      <c r="E31" s="103"/>
      <c r="F31" s="103"/>
      <c r="G31" s="103"/>
      <c r="H31" s="104"/>
    </row>
    <row r="32" spans="1:8" x14ac:dyDescent="0.4">
      <c r="A32" s="168" t="s">
        <v>250</v>
      </c>
      <c r="B32" s="105"/>
      <c r="C32" s="105"/>
      <c r="D32" s="105"/>
      <c r="E32" s="106"/>
      <c r="F32" s="106"/>
      <c r="G32" s="106"/>
      <c r="H32" s="107"/>
    </row>
    <row r="33" spans="1:9" x14ac:dyDescent="0.4">
      <c r="A33" s="169" t="s">
        <v>251</v>
      </c>
      <c r="B33" s="105"/>
      <c r="C33" s="105"/>
      <c r="D33" s="105"/>
      <c r="E33" s="106"/>
      <c r="F33" s="106"/>
      <c r="G33" s="106"/>
      <c r="H33" s="107"/>
    </row>
    <row r="34" spans="1:9" s="73" customFormat="1" x14ac:dyDescent="0.4">
      <c r="A34" s="169" t="s">
        <v>252</v>
      </c>
      <c r="B34" s="106"/>
      <c r="C34" s="106"/>
      <c r="D34" s="105"/>
      <c r="E34" s="106"/>
      <c r="F34" s="106"/>
      <c r="G34" s="106"/>
      <c r="H34" s="107"/>
    </row>
    <row r="35" spans="1:9" x14ac:dyDescent="0.4">
      <c r="A35" s="169" t="s">
        <v>253</v>
      </c>
      <c r="B35" s="106"/>
      <c r="C35" s="106"/>
      <c r="D35" s="106"/>
      <c r="E35" s="106"/>
      <c r="F35" s="106"/>
      <c r="G35" s="106"/>
      <c r="H35" s="107"/>
    </row>
    <row r="36" spans="1:9" x14ac:dyDescent="0.4">
      <c r="A36" s="169" t="s">
        <v>254</v>
      </c>
      <c r="B36" s="106"/>
      <c r="C36" s="106"/>
      <c r="D36" s="106"/>
      <c r="E36" s="106"/>
      <c r="F36" s="106"/>
      <c r="G36" s="106"/>
      <c r="H36" s="107"/>
    </row>
    <row r="37" spans="1:9" x14ac:dyDescent="0.4">
      <c r="A37" s="170" t="s">
        <v>255</v>
      </c>
      <c r="B37" s="90"/>
      <c r="C37" s="90"/>
      <c r="D37" s="90"/>
      <c r="E37" s="90"/>
      <c r="F37" s="90"/>
      <c r="G37" s="90"/>
      <c r="H37" s="108"/>
    </row>
    <row r="38" spans="1:9" x14ac:dyDescent="0.4">
      <c r="A38" s="164" t="s">
        <v>256</v>
      </c>
      <c r="B38" s="98"/>
      <c r="C38" s="98"/>
      <c r="D38" s="98"/>
      <c r="E38" s="98"/>
      <c r="F38" s="98"/>
      <c r="G38" s="98"/>
      <c r="H38" s="99"/>
    </row>
    <row r="39" spans="1:9" x14ac:dyDescent="0.4">
      <c r="A39" s="165" t="s">
        <v>268</v>
      </c>
      <c r="B39" s="100"/>
      <c r="C39" s="100"/>
      <c r="D39" s="100"/>
      <c r="E39" s="100"/>
      <c r="F39" s="100"/>
      <c r="G39" s="100"/>
      <c r="H39" s="109"/>
    </row>
    <row r="40" spans="1:9" s="73" customFormat="1" x14ac:dyDescent="0.4">
      <c r="A40" s="162" t="s">
        <v>257</v>
      </c>
      <c r="B40" s="96"/>
      <c r="C40" s="96"/>
      <c r="D40" s="96"/>
      <c r="E40" s="96"/>
      <c r="F40" s="96"/>
      <c r="G40" s="96"/>
      <c r="H40" s="102"/>
    </row>
    <row r="41" spans="1:9" s="73" customFormat="1" x14ac:dyDescent="0.4">
      <c r="A41" s="162" t="s">
        <v>258</v>
      </c>
      <c r="B41" s="96"/>
      <c r="C41" s="96"/>
      <c r="D41" s="96"/>
      <c r="E41" s="96"/>
      <c r="F41" s="96"/>
      <c r="G41" s="96"/>
      <c r="H41" s="104"/>
    </row>
    <row r="42" spans="1:9" x14ac:dyDescent="0.4">
      <c r="A42" s="162" t="s">
        <v>259</v>
      </c>
      <c r="B42" s="96"/>
      <c r="C42" s="96"/>
      <c r="D42" s="96"/>
      <c r="E42" s="96"/>
      <c r="F42" s="96"/>
      <c r="G42" s="96"/>
      <c r="H42" s="104"/>
    </row>
    <row r="43" spans="1:9" x14ac:dyDescent="0.4">
      <c r="A43" s="162" t="s">
        <v>260</v>
      </c>
      <c r="B43" s="96"/>
      <c r="C43" s="96"/>
      <c r="D43" s="96"/>
      <c r="E43" s="96"/>
      <c r="F43" s="96"/>
      <c r="G43" s="96"/>
      <c r="H43" s="104"/>
      <c r="I43" s="110"/>
    </row>
    <row r="44" spans="1:9" x14ac:dyDescent="0.4">
      <c r="A44" s="162" t="s">
        <v>261</v>
      </c>
      <c r="B44" s="96"/>
      <c r="C44" s="96"/>
      <c r="D44" s="96"/>
      <c r="E44" s="96"/>
      <c r="F44" s="96"/>
      <c r="G44" s="96"/>
      <c r="H44" s="104"/>
      <c r="I44" s="111"/>
    </row>
    <row r="45" spans="1:9" x14ac:dyDescent="0.4">
      <c r="A45" s="160" t="s">
        <v>262</v>
      </c>
      <c r="B45" s="92"/>
      <c r="C45" s="92"/>
      <c r="D45" s="92"/>
      <c r="E45" s="92"/>
      <c r="F45" s="92"/>
      <c r="G45" s="92"/>
      <c r="H45" s="84"/>
    </row>
    <row r="46" spans="1:9" x14ac:dyDescent="0.4">
      <c r="A46" s="164" t="s">
        <v>263</v>
      </c>
      <c r="B46" s="98"/>
      <c r="C46" s="98"/>
      <c r="D46" s="98"/>
      <c r="E46" s="98"/>
      <c r="F46" s="98"/>
      <c r="G46" s="98"/>
      <c r="H46" s="112"/>
    </row>
    <row r="47" spans="1:9" x14ac:dyDescent="0.4">
      <c r="A47" s="171" t="s">
        <v>264</v>
      </c>
      <c r="B47" s="113"/>
      <c r="C47" s="113"/>
      <c r="D47" s="113"/>
      <c r="E47" s="113"/>
      <c r="F47" s="113"/>
      <c r="G47" s="113"/>
      <c r="H47" s="114"/>
    </row>
    <row r="49" spans="1:1" ht="14" x14ac:dyDescent="0.3">
      <c r="A49" s="1"/>
    </row>
    <row r="50" spans="1:1" ht="14" x14ac:dyDescent="0.3">
      <c r="A50" s="1"/>
    </row>
    <row r="51" spans="1:1" ht="14" x14ac:dyDescent="0.3">
      <c r="A51" s="1"/>
    </row>
    <row r="52" spans="1:1" ht="14" x14ac:dyDescent="0.3">
      <c r="A52" s="1"/>
    </row>
    <row r="53" spans="1:1" ht="14" x14ac:dyDescent="0.3">
      <c r="A53" s="1"/>
    </row>
    <row r="54" spans="1:1" ht="14" x14ac:dyDescent="0.3">
      <c r="A54" s="1"/>
    </row>
    <row r="55" spans="1:1" x14ac:dyDescent="0.4">
      <c r="A55" s="175"/>
    </row>
    <row r="56" spans="1:1" x14ac:dyDescent="0.4">
      <c r="A56" s="175"/>
    </row>
    <row r="57" spans="1:1" x14ac:dyDescent="0.4">
      <c r="A57" s="175"/>
    </row>
  </sheetData>
  <mergeCells count="3">
    <mergeCell ref="A1:H1"/>
    <mergeCell ref="A9:H9"/>
    <mergeCell ref="A21:H21"/>
  </mergeCells>
  <phoneticPr fontId="2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85" zoomScaleNormal="85" workbookViewId="0">
      <selection activeCell="A2" sqref="A2:H2"/>
    </sheetView>
  </sheetViews>
  <sheetFormatPr defaultColWidth="8.9140625" defaultRowHeight="15.5" x14ac:dyDescent="0.4"/>
  <cols>
    <col min="1" max="1" width="30.08203125" style="155" customWidth="1"/>
    <col min="2" max="9" width="13.6640625" style="1" bestFit="1" customWidth="1"/>
    <col min="10" max="16384" width="8.9140625" style="1"/>
  </cols>
  <sheetData>
    <row r="1" spans="1:8" ht="16" thickBot="1" x14ac:dyDescent="0.45">
      <c r="A1" s="142" t="s">
        <v>201</v>
      </c>
      <c r="B1" s="143"/>
      <c r="C1" s="143"/>
      <c r="D1" s="143"/>
      <c r="E1" s="143"/>
      <c r="F1" s="143"/>
      <c r="G1" s="143"/>
      <c r="H1" s="144"/>
    </row>
    <row r="2" spans="1:8" s="73" customFormat="1" ht="14" x14ac:dyDescent="0.3">
      <c r="A2" s="184"/>
      <c r="B2" s="182" t="s">
        <v>192</v>
      </c>
      <c r="C2" s="182" t="s">
        <v>193</v>
      </c>
      <c r="D2" s="182" t="s">
        <v>194</v>
      </c>
      <c r="E2" s="182" t="s">
        <v>195</v>
      </c>
      <c r="F2" s="182" t="s">
        <v>272</v>
      </c>
      <c r="G2" s="182" t="s">
        <v>196</v>
      </c>
      <c r="H2" s="183" t="s">
        <v>197</v>
      </c>
    </row>
    <row r="3" spans="1:8" x14ac:dyDescent="0.4">
      <c r="A3" s="151" t="s">
        <v>228</v>
      </c>
      <c r="B3" s="74"/>
      <c r="C3" s="74"/>
      <c r="D3" s="74"/>
      <c r="E3" s="75"/>
      <c r="F3" s="75"/>
      <c r="G3" s="75"/>
      <c r="H3" s="76"/>
    </row>
    <row r="4" spans="1:8" x14ac:dyDescent="0.4">
      <c r="A4" s="152" t="s">
        <v>229</v>
      </c>
      <c r="B4" s="77"/>
      <c r="C4" s="77"/>
      <c r="D4" s="77"/>
      <c r="E4" s="77"/>
      <c r="F4" s="77"/>
      <c r="G4" s="77"/>
      <c r="H4" s="78"/>
    </row>
    <row r="5" spans="1:8" x14ac:dyDescent="0.4">
      <c r="A5" s="153" t="s">
        <v>230</v>
      </c>
      <c r="B5" s="79"/>
      <c r="C5" s="79"/>
      <c r="D5" s="79"/>
      <c r="E5" s="79"/>
      <c r="F5" s="79"/>
      <c r="G5" s="79"/>
      <c r="H5" s="80"/>
    </row>
    <row r="6" spans="1:8" s="62" customFormat="1" x14ac:dyDescent="0.4">
      <c r="A6" s="152" t="s">
        <v>231</v>
      </c>
      <c r="B6" s="77"/>
      <c r="C6" s="77"/>
      <c r="D6" s="77"/>
      <c r="E6" s="77"/>
      <c r="F6" s="77"/>
      <c r="G6" s="77"/>
      <c r="H6" s="78"/>
    </row>
    <row r="7" spans="1:8" s="73" customFormat="1" x14ac:dyDescent="0.4">
      <c r="A7" s="154" t="s">
        <v>232</v>
      </c>
      <c r="B7" s="81"/>
      <c r="C7" s="81"/>
      <c r="D7" s="81"/>
      <c r="E7" s="81"/>
      <c r="F7" s="81"/>
      <c r="G7" s="81"/>
      <c r="H7" s="82"/>
    </row>
    <row r="8" spans="1:8" ht="16" thickBot="1" x14ac:dyDescent="0.45"/>
    <row r="9" spans="1:8" ht="16" thickBot="1" x14ac:dyDescent="0.45">
      <c r="A9" s="142" t="s">
        <v>202</v>
      </c>
      <c r="B9" s="143"/>
      <c r="C9" s="143"/>
      <c r="D9" s="143"/>
      <c r="E9" s="143"/>
      <c r="F9" s="143"/>
      <c r="G9" s="143"/>
      <c r="H9" s="144"/>
    </row>
    <row r="10" spans="1:8" s="73" customFormat="1" ht="14" x14ac:dyDescent="0.3">
      <c r="A10" s="184"/>
      <c r="B10" s="182" t="s">
        <v>192</v>
      </c>
      <c r="C10" s="182" t="s">
        <v>193</v>
      </c>
      <c r="D10" s="182" t="s">
        <v>194</v>
      </c>
      <c r="E10" s="182" t="s">
        <v>195</v>
      </c>
      <c r="F10" s="182" t="s">
        <v>271</v>
      </c>
      <c r="G10" s="182" t="s">
        <v>196</v>
      </c>
      <c r="H10" s="183" t="s">
        <v>197</v>
      </c>
    </row>
    <row r="11" spans="1:8" x14ac:dyDescent="0.4">
      <c r="A11" s="151" t="s">
        <v>233</v>
      </c>
      <c r="B11" s="74"/>
      <c r="C11" s="74"/>
      <c r="D11" s="74"/>
      <c r="E11" s="74"/>
      <c r="F11" s="74"/>
      <c r="G11" s="74"/>
      <c r="H11" s="76"/>
    </row>
    <row r="12" spans="1:8" x14ac:dyDescent="0.4">
      <c r="A12" s="156" t="s">
        <v>234</v>
      </c>
      <c r="B12" s="83"/>
      <c r="C12" s="83"/>
      <c r="D12" s="83"/>
      <c r="E12" s="83"/>
      <c r="F12" s="83"/>
      <c r="G12" s="83"/>
      <c r="H12" s="84"/>
    </row>
    <row r="13" spans="1:8" s="73" customFormat="1" x14ac:dyDescent="0.4">
      <c r="A13" s="157" t="s">
        <v>235</v>
      </c>
      <c r="B13" s="85"/>
      <c r="C13" s="85"/>
      <c r="D13" s="85"/>
      <c r="E13" s="85"/>
      <c r="F13" s="85"/>
      <c r="G13" s="85"/>
      <c r="H13" s="86"/>
    </row>
    <row r="14" spans="1:8" x14ac:dyDescent="0.4">
      <c r="A14" s="158" t="s">
        <v>229</v>
      </c>
      <c r="B14" s="87"/>
      <c r="C14" s="87"/>
      <c r="D14" s="87"/>
      <c r="E14" s="87"/>
      <c r="F14" s="87"/>
      <c r="G14" s="87"/>
      <c r="H14" s="88"/>
    </row>
    <row r="15" spans="1:8" s="73" customFormat="1" x14ac:dyDescent="0.4">
      <c r="A15" s="157" t="s">
        <v>236</v>
      </c>
      <c r="B15" s="85"/>
      <c r="C15" s="85"/>
      <c r="D15" s="85"/>
      <c r="E15" s="85"/>
      <c r="F15" s="85"/>
      <c r="G15" s="85"/>
      <c r="H15" s="86"/>
    </row>
    <row r="16" spans="1:8" x14ac:dyDescent="0.4">
      <c r="A16" s="159" t="s">
        <v>237</v>
      </c>
      <c r="B16" s="90"/>
      <c r="C16" s="87"/>
      <c r="D16" s="87"/>
      <c r="E16" s="87"/>
      <c r="F16" s="87"/>
      <c r="G16" s="87"/>
      <c r="H16" s="91"/>
    </row>
    <row r="17" spans="1:8" s="73" customFormat="1" x14ac:dyDescent="0.4">
      <c r="A17" s="157" t="s">
        <v>238</v>
      </c>
      <c r="B17" s="85"/>
      <c r="C17" s="85"/>
      <c r="D17" s="85"/>
      <c r="E17" s="85"/>
      <c r="F17" s="85"/>
      <c r="G17" s="85"/>
      <c r="H17" s="86"/>
    </row>
    <row r="18" spans="1:8" x14ac:dyDescent="0.4">
      <c r="A18" s="160" t="s">
        <v>239</v>
      </c>
      <c r="B18" s="92"/>
      <c r="C18" s="92"/>
      <c r="D18" s="92"/>
      <c r="E18" s="92"/>
      <c r="F18" s="92"/>
      <c r="G18" s="92"/>
      <c r="H18" s="93"/>
    </row>
    <row r="19" spans="1:8" s="73" customFormat="1" x14ac:dyDescent="0.4">
      <c r="A19" s="161" t="s">
        <v>240</v>
      </c>
      <c r="B19" s="94"/>
      <c r="C19" s="94"/>
      <c r="D19" s="94"/>
      <c r="E19" s="94"/>
      <c r="F19" s="94"/>
      <c r="G19" s="94"/>
      <c r="H19" s="95"/>
    </row>
    <row r="20" spans="1:8" ht="16" thickBot="1" x14ac:dyDescent="0.45"/>
    <row r="21" spans="1:8" ht="16" thickBot="1" x14ac:dyDescent="0.45">
      <c r="A21" s="142" t="s">
        <v>204</v>
      </c>
      <c r="B21" s="143"/>
      <c r="C21" s="143"/>
      <c r="D21" s="143"/>
      <c r="E21" s="143"/>
      <c r="F21" s="143"/>
      <c r="G21" s="143"/>
      <c r="H21" s="144"/>
    </row>
    <row r="22" spans="1:8" s="73" customFormat="1" ht="14" x14ac:dyDescent="0.3">
      <c r="A22" s="184"/>
      <c r="B22" s="182" t="s">
        <v>192</v>
      </c>
      <c r="C22" s="182" t="s">
        <v>193</v>
      </c>
      <c r="D22" s="182" t="s">
        <v>194</v>
      </c>
      <c r="E22" s="182" t="s">
        <v>195</v>
      </c>
      <c r="F22" s="182" t="s">
        <v>271</v>
      </c>
      <c r="G22" s="182" t="s">
        <v>196</v>
      </c>
      <c r="H22" s="183" t="s">
        <v>197</v>
      </c>
    </row>
    <row r="23" spans="1:8" x14ac:dyDescent="0.4">
      <c r="A23" s="162" t="s">
        <v>241</v>
      </c>
      <c r="B23" s="96"/>
      <c r="C23" s="96"/>
      <c r="D23" s="96"/>
      <c r="E23" s="96"/>
      <c r="F23" s="96"/>
      <c r="G23" s="96"/>
      <c r="H23" s="97"/>
    </row>
    <row r="24" spans="1:8" x14ac:dyDescent="0.4">
      <c r="A24" s="162" t="s">
        <v>242</v>
      </c>
      <c r="B24" s="96"/>
      <c r="C24" s="96"/>
      <c r="D24" s="96"/>
      <c r="E24" s="96"/>
      <c r="F24" s="96"/>
      <c r="G24" s="96"/>
      <c r="H24" s="97"/>
    </row>
    <row r="25" spans="1:8" s="73" customFormat="1" x14ac:dyDescent="0.4">
      <c r="A25" s="162" t="s">
        <v>243</v>
      </c>
      <c r="B25" s="96"/>
      <c r="C25" s="96"/>
      <c r="D25" s="96"/>
      <c r="E25" s="96"/>
      <c r="F25" s="96"/>
      <c r="G25" s="96"/>
      <c r="H25" s="97"/>
    </row>
    <row r="26" spans="1:8" x14ac:dyDescent="0.4">
      <c r="A26" s="163" t="s">
        <v>244</v>
      </c>
      <c r="B26" s="96"/>
      <c r="C26" s="96"/>
      <c r="D26" s="96"/>
      <c r="E26" s="96"/>
      <c r="F26" s="96"/>
      <c r="G26" s="96"/>
      <c r="H26" s="97"/>
    </row>
    <row r="27" spans="1:8" x14ac:dyDescent="0.4">
      <c r="A27" s="163" t="s">
        <v>245</v>
      </c>
      <c r="B27" s="96"/>
      <c r="C27" s="96"/>
      <c r="D27" s="96"/>
      <c r="E27" s="96"/>
      <c r="F27" s="96"/>
      <c r="G27" s="96"/>
      <c r="H27" s="97"/>
    </row>
    <row r="28" spans="1:8" x14ac:dyDescent="0.4">
      <c r="A28" s="164" t="s">
        <v>246</v>
      </c>
      <c r="B28" s="98"/>
      <c r="C28" s="98"/>
      <c r="D28" s="98"/>
      <c r="E28" s="98"/>
      <c r="F28" s="98"/>
      <c r="G28" s="98"/>
      <c r="H28" s="99"/>
    </row>
    <row r="29" spans="1:8" x14ac:dyDescent="0.4">
      <c r="A29" s="165" t="s">
        <v>247</v>
      </c>
      <c r="B29" s="100"/>
      <c r="C29" s="100"/>
      <c r="D29" s="100"/>
      <c r="E29" s="100"/>
      <c r="F29" s="100"/>
      <c r="G29" s="100"/>
      <c r="H29" s="101"/>
    </row>
    <row r="30" spans="1:8" x14ac:dyDescent="0.4">
      <c r="A30" s="166" t="s">
        <v>248</v>
      </c>
      <c r="B30" s="62"/>
      <c r="C30" s="62"/>
      <c r="D30" s="62"/>
      <c r="E30" s="62"/>
      <c r="F30" s="62"/>
      <c r="G30" s="62"/>
      <c r="H30" s="102"/>
    </row>
    <row r="31" spans="1:8" x14ac:dyDescent="0.4">
      <c r="A31" s="167" t="s">
        <v>249</v>
      </c>
      <c r="B31" s="103"/>
      <c r="C31" s="103"/>
      <c r="D31" s="103"/>
      <c r="E31" s="103"/>
      <c r="F31" s="103"/>
      <c r="G31" s="103"/>
      <c r="H31" s="104"/>
    </row>
    <row r="32" spans="1:8" x14ac:dyDescent="0.4">
      <c r="A32" s="168" t="s">
        <v>250</v>
      </c>
      <c r="B32" s="105"/>
      <c r="C32" s="105"/>
      <c r="D32" s="105"/>
      <c r="E32" s="106"/>
      <c r="F32" s="106"/>
      <c r="G32" s="106"/>
      <c r="H32" s="107"/>
    </row>
    <row r="33" spans="1:9" x14ac:dyDescent="0.4">
      <c r="A33" s="169" t="s">
        <v>251</v>
      </c>
      <c r="B33" s="105"/>
      <c r="C33" s="105"/>
      <c r="D33" s="105"/>
      <c r="E33" s="106"/>
      <c r="F33" s="106"/>
      <c r="G33" s="106"/>
      <c r="H33" s="107"/>
    </row>
    <row r="34" spans="1:9" s="73" customFormat="1" x14ac:dyDescent="0.4">
      <c r="A34" s="169" t="s">
        <v>252</v>
      </c>
      <c r="B34" s="106"/>
      <c r="C34" s="106"/>
      <c r="D34" s="105"/>
      <c r="E34" s="106"/>
      <c r="F34" s="106"/>
      <c r="G34" s="106"/>
      <c r="H34" s="107"/>
    </row>
    <row r="35" spans="1:9" x14ac:dyDescent="0.4">
      <c r="A35" s="169" t="s">
        <v>253</v>
      </c>
      <c r="B35" s="106"/>
      <c r="C35" s="106"/>
      <c r="D35" s="106"/>
      <c r="E35" s="106"/>
      <c r="F35" s="106"/>
      <c r="G35" s="106"/>
      <c r="H35" s="107"/>
    </row>
    <row r="36" spans="1:9" x14ac:dyDescent="0.4">
      <c r="A36" s="169" t="s">
        <v>254</v>
      </c>
      <c r="B36" s="106"/>
      <c r="C36" s="106"/>
      <c r="D36" s="106"/>
      <c r="E36" s="106"/>
      <c r="F36" s="106"/>
      <c r="G36" s="106"/>
      <c r="H36" s="107"/>
    </row>
    <row r="37" spans="1:9" x14ac:dyDescent="0.4">
      <c r="A37" s="170" t="s">
        <v>255</v>
      </c>
      <c r="B37" s="90"/>
      <c r="C37" s="90"/>
      <c r="D37" s="90"/>
      <c r="E37" s="90"/>
      <c r="F37" s="90"/>
      <c r="G37" s="90"/>
      <c r="H37" s="108"/>
    </row>
    <row r="38" spans="1:9" x14ac:dyDescent="0.4">
      <c r="A38" s="164" t="s">
        <v>256</v>
      </c>
      <c r="B38" s="98"/>
      <c r="C38" s="98"/>
      <c r="D38" s="98"/>
      <c r="E38" s="98"/>
      <c r="F38" s="98"/>
      <c r="G38" s="98"/>
      <c r="H38" s="99"/>
    </row>
    <row r="39" spans="1:9" x14ac:dyDescent="0.4">
      <c r="A39" s="165" t="s">
        <v>268</v>
      </c>
      <c r="B39" s="100"/>
      <c r="C39" s="100"/>
      <c r="D39" s="100"/>
      <c r="E39" s="100"/>
      <c r="F39" s="100"/>
      <c r="G39" s="100"/>
      <c r="H39" s="109"/>
    </row>
    <row r="40" spans="1:9" s="73" customFormat="1" x14ac:dyDescent="0.4">
      <c r="A40" s="162" t="s">
        <v>257</v>
      </c>
      <c r="B40" s="96"/>
      <c r="C40" s="96"/>
      <c r="D40" s="96"/>
      <c r="E40" s="96"/>
      <c r="F40" s="96"/>
      <c r="G40" s="96"/>
      <c r="H40" s="102"/>
    </row>
    <row r="41" spans="1:9" s="73" customFormat="1" x14ac:dyDescent="0.4">
      <c r="A41" s="162" t="s">
        <v>258</v>
      </c>
      <c r="B41" s="96"/>
      <c r="C41" s="96"/>
      <c r="D41" s="96"/>
      <c r="E41" s="96"/>
      <c r="F41" s="96"/>
      <c r="G41" s="96"/>
      <c r="H41" s="104"/>
    </row>
    <row r="42" spans="1:9" x14ac:dyDescent="0.4">
      <c r="A42" s="162" t="s">
        <v>259</v>
      </c>
      <c r="B42" s="96"/>
      <c r="C42" s="96"/>
      <c r="D42" s="96"/>
      <c r="E42" s="96"/>
      <c r="F42" s="96"/>
      <c r="G42" s="96"/>
      <c r="H42" s="104"/>
    </row>
    <row r="43" spans="1:9" x14ac:dyDescent="0.4">
      <c r="A43" s="162" t="s">
        <v>260</v>
      </c>
      <c r="B43" s="96"/>
      <c r="C43" s="96"/>
      <c r="D43" s="96"/>
      <c r="E43" s="96"/>
      <c r="F43" s="96"/>
      <c r="G43" s="96"/>
      <c r="H43" s="104"/>
      <c r="I43" s="110"/>
    </row>
    <row r="44" spans="1:9" x14ac:dyDescent="0.4">
      <c r="A44" s="162" t="s">
        <v>261</v>
      </c>
      <c r="B44" s="96"/>
      <c r="C44" s="96"/>
      <c r="D44" s="96"/>
      <c r="E44" s="96"/>
      <c r="F44" s="96"/>
      <c r="G44" s="96"/>
      <c r="H44" s="104"/>
      <c r="I44" s="111"/>
    </row>
    <row r="45" spans="1:9" x14ac:dyDescent="0.4">
      <c r="A45" s="160" t="s">
        <v>262</v>
      </c>
      <c r="B45" s="92"/>
      <c r="C45" s="92"/>
      <c r="D45" s="92"/>
      <c r="E45" s="92"/>
      <c r="F45" s="92"/>
      <c r="G45" s="92"/>
      <c r="H45" s="84"/>
    </row>
    <row r="46" spans="1:9" x14ac:dyDescent="0.4">
      <c r="A46" s="164" t="s">
        <v>263</v>
      </c>
      <c r="B46" s="98"/>
      <c r="C46" s="98"/>
      <c r="D46" s="98"/>
      <c r="E46" s="98"/>
      <c r="F46" s="98"/>
      <c r="G46" s="98"/>
      <c r="H46" s="112"/>
    </row>
    <row r="47" spans="1:9" x14ac:dyDescent="0.4">
      <c r="A47" s="171" t="s">
        <v>264</v>
      </c>
      <c r="B47" s="113"/>
      <c r="C47" s="113"/>
      <c r="D47" s="113"/>
      <c r="E47" s="113"/>
      <c r="F47" s="113"/>
      <c r="G47" s="113"/>
      <c r="H47" s="114"/>
    </row>
    <row r="49" spans="1:1" ht="14" x14ac:dyDescent="0.3">
      <c r="A49" s="1"/>
    </row>
    <row r="50" spans="1:1" ht="14" x14ac:dyDescent="0.3">
      <c r="A50" s="1"/>
    </row>
    <row r="51" spans="1:1" ht="14" x14ac:dyDescent="0.3">
      <c r="A51" s="1"/>
    </row>
    <row r="52" spans="1:1" ht="14" x14ac:dyDescent="0.3">
      <c r="A52" s="1"/>
    </row>
    <row r="53" spans="1:1" ht="14" x14ac:dyDescent="0.3">
      <c r="A53" s="1"/>
    </row>
    <row r="54" spans="1:1" ht="14" x14ac:dyDescent="0.3">
      <c r="A54" s="1"/>
    </row>
    <row r="55" spans="1:1" x14ac:dyDescent="0.4">
      <c r="A55" s="175"/>
    </row>
    <row r="56" spans="1:1" x14ac:dyDescent="0.4">
      <c r="A56" s="175"/>
    </row>
    <row r="57" spans="1:1" x14ac:dyDescent="0.4">
      <c r="A57" s="175"/>
    </row>
  </sheetData>
  <mergeCells count="3">
    <mergeCell ref="A1:H1"/>
    <mergeCell ref="A9:H9"/>
    <mergeCell ref="A21:H21"/>
  </mergeCells>
  <phoneticPr fontId="2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7"/>
  <sheetViews>
    <sheetView zoomScale="85" zoomScaleNormal="85" workbookViewId="0">
      <selection activeCell="A22" sqref="A22:H22"/>
    </sheetView>
  </sheetViews>
  <sheetFormatPr defaultColWidth="8.9140625" defaultRowHeight="15.5" x14ac:dyDescent="0.4"/>
  <cols>
    <col min="1" max="1" width="30.08203125" style="155" customWidth="1"/>
    <col min="2" max="2" width="19.33203125" style="1" customWidth="1"/>
    <col min="3" max="8" width="15.4140625" style="1" bestFit="1" customWidth="1"/>
    <col min="9" max="9" width="13.6640625" style="1" bestFit="1" customWidth="1"/>
    <col min="10" max="16384" width="8.9140625" style="1"/>
  </cols>
  <sheetData>
    <row r="1" spans="1:8" ht="16" thickBot="1" x14ac:dyDescent="0.45">
      <c r="A1" s="142" t="s">
        <v>203</v>
      </c>
      <c r="B1" s="143"/>
      <c r="C1" s="143"/>
      <c r="D1" s="143"/>
      <c r="E1" s="143"/>
      <c r="F1" s="143"/>
      <c r="G1" s="143"/>
      <c r="H1" s="144"/>
    </row>
    <row r="2" spans="1:8" s="73" customFormat="1" ht="14" x14ac:dyDescent="0.3">
      <c r="A2" s="184"/>
      <c r="B2" s="182" t="s">
        <v>192</v>
      </c>
      <c r="C2" s="182" t="s">
        <v>193</v>
      </c>
      <c r="D2" s="182" t="s">
        <v>194</v>
      </c>
      <c r="E2" s="182" t="s">
        <v>195</v>
      </c>
      <c r="F2" s="182" t="s">
        <v>273</v>
      </c>
      <c r="G2" s="182" t="s">
        <v>196</v>
      </c>
      <c r="H2" s="183" t="s">
        <v>197</v>
      </c>
    </row>
    <row r="3" spans="1:8" x14ac:dyDescent="0.4">
      <c r="A3" s="151" t="s">
        <v>228</v>
      </c>
      <c r="B3" s="74">
        <f>学生表格!U8</f>
        <v>2500</v>
      </c>
      <c r="C3" s="74">
        <f>学生表格!U9</f>
        <v>4000</v>
      </c>
      <c r="D3" s="74">
        <f>学生表格!U10</f>
        <v>5000</v>
      </c>
      <c r="E3" s="74">
        <f>学生表格!U11</f>
        <v>3000</v>
      </c>
      <c r="F3" s="74">
        <f>学生表格!U12</f>
        <v>2000</v>
      </c>
      <c r="G3" s="74">
        <f>学生表格!U13</f>
        <v>1000</v>
      </c>
      <c r="H3" s="76">
        <f>SUM(B3:G3)</f>
        <v>17500</v>
      </c>
    </row>
    <row r="4" spans="1:8" x14ac:dyDescent="0.4">
      <c r="A4" s="152" t="s">
        <v>229</v>
      </c>
      <c r="B4" s="77">
        <f>学生表格!$E$17+学生表格!$E$18*C3</f>
        <v>1100</v>
      </c>
      <c r="C4" s="77">
        <f>学生表格!$E$17+学生表格!$E$18*D3</f>
        <v>1300</v>
      </c>
      <c r="D4" s="77">
        <f>学生表格!$E$17+学生表格!$E$18*E3</f>
        <v>900</v>
      </c>
      <c r="E4" s="77">
        <f>学生表格!$E$17+学生表格!$E$18*F3</f>
        <v>700</v>
      </c>
      <c r="F4" s="77">
        <f>学生表格!$E$17+学生表格!$E$18*G3</f>
        <v>500</v>
      </c>
      <c r="G4" s="77">
        <f>学生表格!$E$17+学生表格!$E$18*学生表格!U14</f>
        <v>500</v>
      </c>
      <c r="H4" s="78">
        <f>G4</f>
        <v>500</v>
      </c>
    </row>
    <row r="5" spans="1:8" x14ac:dyDescent="0.4">
      <c r="A5" s="153" t="s">
        <v>230</v>
      </c>
      <c r="B5" s="79">
        <f>B3+B4</f>
        <v>3600</v>
      </c>
      <c r="C5" s="79">
        <f t="shared" ref="C5:H5" si="0">C3+C4</f>
        <v>5300</v>
      </c>
      <c r="D5" s="79">
        <f t="shared" si="0"/>
        <v>5900</v>
      </c>
      <c r="E5" s="79">
        <f t="shared" si="0"/>
        <v>3700</v>
      </c>
      <c r="F5" s="79">
        <f t="shared" si="0"/>
        <v>2500</v>
      </c>
      <c r="G5" s="79">
        <f t="shared" si="0"/>
        <v>1500</v>
      </c>
      <c r="H5" s="80">
        <f t="shared" si="0"/>
        <v>18000</v>
      </c>
    </row>
    <row r="6" spans="1:8" s="62" customFormat="1" x14ac:dyDescent="0.4">
      <c r="A6" s="152" t="s">
        <v>231</v>
      </c>
      <c r="B6" s="77">
        <f>学生表格!E15</f>
        <v>1000</v>
      </c>
      <c r="C6" s="77">
        <f>B4</f>
        <v>1100</v>
      </c>
      <c r="D6" s="77">
        <f t="shared" ref="D6:G6" si="1">C4</f>
        <v>1300</v>
      </c>
      <c r="E6" s="77">
        <f t="shared" si="1"/>
        <v>900</v>
      </c>
      <c r="F6" s="77">
        <f t="shared" si="1"/>
        <v>700</v>
      </c>
      <c r="G6" s="77">
        <f t="shared" si="1"/>
        <v>500</v>
      </c>
      <c r="H6" s="78">
        <f>B6</f>
        <v>1000</v>
      </c>
    </row>
    <row r="7" spans="1:8" s="73" customFormat="1" x14ac:dyDescent="0.4">
      <c r="A7" s="154" t="s">
        <v>232</v>
      </c>
      <c r="B7" s="81">
        <f>B5-B6</f>
        <v>2600</v>
      </c>
      <c r="C7" s="81">
        <f t="shared" ref="C7:H7" si="2">C5-C6</f>
        <v>4200</v>
      </c>
      <c r="D7" s="81">
        <f t="shared" si="2"/>
        <v>4600</v>
      </c>
      <c r="E7" s="81">
        <f t="shared" si="2"/>
        <v>2800</v>
      </c>
      <c r="F7" s="81">
        <f t="shared" si="2"/>
        <v>1800</v>
      </c>
      <c r="G7" s="81">
        <f t="shared" si="2"/>
        <v>1000</v>
      </c>
      <c r="H7" s="82">
        <f t="shared" si="2"/>
        <v>17000</v>
      </c>
    </row>
    <row r="8" spans="1:8" ht="16" thickBot="1" x14ac:dyDescent="0.45"/>
    <row r="9" spans="1:8" ht="16" thickBot="1" x14ac:dyDescent="0.45">
      <c r="A9" s="142" t="s">
        <v>205</v>
      </c>
      <c r="B9" s="143"/>
      <c r="C9" s="143"/>
      <c r="D9" s="143"/>
      <c r="E9" s="143"/>
      <c r="F9" s="143"/>
      <c r="G9" s="143"/>
      <c r="H9" s="144"/>
    </row>
    <row r="10" spans="1:8" s="73" customFormat="1" ht="14" x14ac:dyDescent="0.3">
      <c r="A10" s="184"/>
      <c r="B10" s="182" t="s">
        <v>192</v>
      </c>
      <c r="C10" s="182" t="s">
        <v>193</v>
      </c>
      <c r="D10" s="182" t="s">
        <v>194</v>
      </c>
      <c r="E10" s="182" t="s">
        <v>195</v>
      </c>
      <c r="F10" s="182" t="s">
        <v>273</v>
      </c>
      <c r="G10" s="182" t="s">
        <v>196</v>
      </c>
      <c r="H10" s="183" t="s">
        <v>197</v>
      </c>
    </row>
    <row r="11" spans="1:8" x14ac:dyDescent="0.4">
      <c r="A11" s="151" t="s">
        <v>233</v>
      </c>
      <c r="B11" s="74">
        <f>B7</f>
        <v>2600</v>
      </c>
      <c r="C11" s="74">
        <f t="shared" ref="C11:H11" si="3">C7</f>
        <v>4200</v>
      </c>
      <c r="D11" s="74">
        <f t="shared" si="3"/>
        <v>4600</v>
      </c>
      <c r="E11" s="74">
        <f t="shared" si="3"/>
        <v>2800</v>
      </c>
      <c r="F11" s="74">
        <f t="shared" si="3"/>
        <v>1800</v>
      </c>
      <c r="G11" s="74">
        <f t="shared" si="3"/>
        <v>1000</v>
      </c>
      <c r="H11" s="76">
        <f t="shared" si="3"/>
        <v>17000</v>
      </c>
    </row>
    <row r="12" spans="1:8" x14ac:dyDescent="0.4">
      <c r="A12" s="156" t="s">
        <v>234</v>
      </c>
      <c r="B12" s="83">
        <f>学生表格!$F$23</f>
        <v>30</v>
      </c>
      <c r="C12" s="83">
        <f>学生表格!$F$23</f>
        <v>30</v>
      </c>
      <c r="D12" s="83">
        <f>学生表格!$F$23</f>
        <v>30</v>
      </c>
      <c r="E12" s="83">
        <f>学生表格!$F$23</f>
        <v>30</v>
      </c>
      <c r="F12" s="83">
        <f>学生表格!$F$23</f>
        <v>30</v>
      </c>
      <c r="G12" s="83">
        <f>学生表格!$F$23</f>
        <v>30</v>
      </c>
      <c r="H12" s="84">
        <f>学生表格!$F$23</f>
        <v>30</v>
      </c>
    </row>
    <row r="13" spans="1:8" s="73" customFormat="1" x14ac:dyDescent="0.4">
      <c r="A13" s="157" t="s">
        <v>235</v>
      </c>
      <c r="B13" s="85">
        <f>B11*B12</f>
        <v>78000</v>
      </c>
      <c r="C13" s="85">
        <f t="shared" ref="C13:H13" si="4">C11*C12</f>
        <v>126000</v>
      </c>
      <c r="D13" s="85">
        <f t="shared" si="4"/>
        <v>138000</v>
      </c>
      <c r="E13" s="85">
        <f t="shared" si="4"/>
        <v>84000</v>
      </c>
      <c r="F13" s="85">
        <f t="shared" si="4"/>
        <v>54000</v>
      </c>
      <c r="G13" s="85">
        <f t="shared" si="4"/>
        <v>30000</v>
      </c>
      <c r="H13" s="86">
        <f t="shared" si="4"/>
        <v>510000</v>
      </c>
    </row>
    <row r="14" spans="1:8" x14ac:dyDescent="0.4">
      <c r="A14" s="158" t="s">
        <v>229</v>
      </c>
      <c r="B14" s="87">
        <f>学生表格!$E$36*C13</f>
        <v>63000</v>
      </c>
      <c r="C14" s="87">
        <f>学生表格!$E$36*D13</f>
        <v>69000</v>
      </c>
      <c r="D14" s="87">
        <f>学生表格!$E$36*E13</f>
        <v>42000</v>
      </c>
      <c r="E14" s="87">
        <f>学生表格!$E$36*F13</f>
        <v>27000</v>
      </c>
      <c r="F14" s="87">
        <f>学生表格!$E$36*G13</f>
        <v>15000</v>
      </c>
      <c r="G14" s="87">
        <f>(学生表格!U14+学生表格!E18*学生表格!U15-学生表格!E18*学生表格!U14)*学生表格!F23*学生表格!E36</f>
        <v>15000</v>
      </c>
      <c r="H14" s="88">
        <f>G14</f>
        <v>15000</v>
      </c>
    </row>
    <row r="15" spans="1:8" s="73" customFormat="1" x14ac:dyDescent="0.4">
      <c r="A15" s="157" t="s">
        <v>236</v>
      </c>
      <c r="B15" s="85">
        <f>B13+B14</f>
        <v>141000</v>
      </c>
      <c r="C15" s="85">
        <f t="shared" ref="C15:H15" si="5">C13+C14</f>
        <v>195000</v>
      </c>
      <c r="D15" s="85">
        <f t="shared" si="5"/>
        <v>180000</v>
      </c>
      <c r="E15" s="85">
        <f t="shared" si="5"/>
        <v>111000</v>
      </c>
      <c r="F15" s="85">
        <f t="shared" si="5"/>
        <v>69000</v>
      </c>
      <c r="G15" s="85">
        <f t="shared" si="5"/>
        <v>45000</v>
      </c>
      <c r="H15" s="86">
        <f t="shared" si="5"/>
        <v>525000</v>
      </c>
    </row>
    <row r="16" spans="1:8" x14ac:dyDescent="0.4">
      <c r="A16" s="159" t="s">
        <v>237</v>
      </c>
      <c r="B16" s="90">
        <f>学生表格!E39</f>
        <v>39000</v>
      </c>
      <c r="C16" s="87">
        <f>B14</f>
        <v>63000</v>
      </c>
      <c r="D16" s="87">
        <f t="shared" ref="D16:G16" si="6">C14</f>
        <v>69000</v>
      </c>
      <c r="E16" s="87">
        <f t="shared" si="6"/>
        <v>42000</v>
      </c>
      <c r="F16" s="87">
        <f t="shared" si="6"/>
        <v>27000</v>
      </c>
      <c r="G16" s="87">
        <f t="shared" si="6"/>
        <v>15000</v>
      </c>
      <c r="H16" s="91">
        <f>B16</f>
        <v>39000</v>
      </c>
    </row>
    <row r="17" spans="1:8" s="73" customFormat="1" x14ac:dyDescent="0.4">
      <c r="A17" s="157" t="s">
        <v>238</v>
      </c>
      <c r="B17" s="85">
        <f>B15-B16</f>
        <v>102000</v>
      </c>
      <c r="C17" s="85">
        <f t="shared" ref="C17:H17" si="7">C15-C16</f>
        <v>132000</v>
      </c>
      <c r="D17" s="85">
        <f t="shared" si="7"/>
        <v>111000</v>
      </c>
      <c r="E17" s="85">
        <f t="shared" si="7"/>
        <v>69000</v>
      </c>
      <c r="F17" s="85">
        <f t="shared" si="7"/>
        <v>42000</v>
      </c>
      <c r="G17" s="85">
        <f t="shared" si="7"/>
        <v>30000</v>
      </c>
      <c r="H17" s="86">
        <f t="shared" si="7"/>
        <v>486000</v>
      </c>
    </row>
    <row r="18" spans="1:8" x14ac:dyDescent="0.4">
      <c r="A18" s="160" t="s">
        <v>239</v>
      </c>
      <c r="B18" s="92">
        <f>学生表格!$B$31</f>
        <v>8</v>
      </c>
      <c r="C18" s="92">
        <f>学生表格!$B$31</f>
        <v>8</v>
      </c>
      <c r="D18" s="92">
        <f>学生表格!$B$31</f>
        <v>8</v>
      </c>
      <c r="E18" s="92">
        <f>学生表格!$B$31</f>
        <v>8</v>
      </c>
      <c r="F18" s="92">
        <f>学生表格!$B$31</f>
        <v>8</v>
      </c>
      <c r="G18" s="92">
        <f>学生表格!$B$31</f>
        <v>8</v>
      </c>
      <c r="H18" s="93">
        <f>学生表格!$B$31</f>
        <v>8</v>
      </c>
    </row>
    <row r="19" spans="1:8" s="73" customFormat="1" x14ac:dyDescent="0.4">
      <c r="A19" s="161" t="s">
        <v>240</v>
      </c>
      <c r="B19" s="94">
        <f>B17*B18</f>
        <v>816000</v>
      </c>
      <c r="C19" s="94">
        <f t="shared" ref="C19:H19" si="8">C17*C18</f>
        <v>1056000</v>
      </c>
      <c r="D19" s="94">
        <f t="shared" si="8"/>
        <v>888000</v>
      </c>
      <c r="E19" s="94">
        <f t="shared" si="8"/>
        <v>552000</v>
      </c>
      <c r="F19" s="94">
        <f t="shared" si="8"/>
        <v>336000</v>
      </c>
      <c r="G19" s="94">
        <f t="shared" si="8"/>
        <v>240000</v>
      </c>
      <c r="H19" s="95">
        <f t="shared" si="8"/>
        <v>3888000</v>
      </c>
    </row>
    <row r="20" spans="1:8" ht="16" thickBot="1" x14ac:dyDescent="0.45"/>
    <row r="21" spans="1:8" ht="16" thickBot="1" x14ac:dyDescent="0.45">
      <c r="A21" s="142" t="s">
        <v>207</v>
      </c>
      <c r="B21" s="143"/>
      <c r="C21" s="143"/>
      <c r="D21" s="143"/>
      <c r="E21" s="143"/>
      <c r="F21" s="143"/>
      <c r="G21" s="143"/>
      <c r="H21" s="144"/>
    </row>
    <row r="22" spans="1:8" s="73" customFormat="1" ht="14" x14ac:dyDescent="0.3">
      <c r="A22" s="184"/>
      <c r="B22" s="182" t="s">
        <v>192</v>
      </c>
      <c r="C22" s="182" t="s">
        <v>193</v>
      </c>
      <c r="D22" s="182" t="s">
        <v>194</v>
      </c>
      <c r="E22" s="182" t="s">
        <v>195</v>
      </c>
      <c r="F22" s="182" t="s">
        <v>271</v>
      </c>
      <c r="G22" s="182" t="s">
        <v>196</v>
      </c>
      <c r="H22" s="183" t="s">
        <v>197</v>
      </c>
    </row>
    <row r="23" spans="1:8" x14ac:dyDescent="0.4">
      <c r="A23" s="162" t="s">
        <v>241</v>
      </c>
      <c r="B23" s="96">
        <f>学生表格!O39</f>
        <v>100000</v>
      </c>
      <c r="C23" s="96">
        <f>B47</f>
        <v>100000</v>
      </c>
      <c r="D23" s="96">
        <f t="shared" ref="D23:G23" si="9">C47</f>
        <v>100000</v>
      </c>
      <c r="E23" s="96">
        <f t="shared" si="9"/>
        <v>100000</v>
      </c>
      <c r="F23" s="96">
        <f t="shared" si="9"/>
        <v>100000</v>
      </c>
      <c r="G23" s="96">
        <f t="shared" si="9"/>
        <v>100000</v>
      </c>
      <c r="H23" s="97">
        <f>B23</f>
        <v>100000</v>
      </c>
    </row>
    <row r="24" spans="1:8" x14ac:dyDescent="0.4">
      <c r="A24" s="162" t="s">
        <v>242</v>
      </c>
      <c r="B24" s="96"/>
      <c r="C24" s="96"/>
      <c r="D24" s="96"/>
      <c r="E24" s="96"/>
      <c r="F24" s="96"/>
      <c r="G24" s="96"/>
      <c r="H24" s="97"/>
    </row>
    <row r="25" spans="1:8" x14ac:dyDescent="0.4">
      <c r="A25" s="162" t="s">
        <v>243</v>
      </c>
      <c r="B25" s="96">
        <f>学生表格!$U$37*B49</f>
        <v>625000</v>
      </c>
      <c r="C25" s="96">
        <f>学生表格!$U$37*C49</f>
        <v>1000000</v>
      </c>
      <c r="D25" s="96">
        <f>学生表格!$U$37*D49</f>
        <v>1250000</v>
      </c>
      <c r="E25" s="96">
        <f>学生表格!$U$37*E49</f>
        <v>750000</v>
      </c>
      <c r="F25" s="96">
        <f>学生表格!$U$37*F49</f>
        <v>550000</v>
      </c>
      <c r="G25" s="96">
        <f>学生表格!$U$37*G49</f>
        <v>275000</v>
      </c>
      <c r="H25" s="97">
        <f>SUM(B25:G25)</f>
        <v>4450000</v>
      </c>
    </row>
    <row r="26" spans="1:8" x14ac:dyDescent="0.4">
      <c r="A26" s="163" t="s">
        <v>244</v>
      </c>
      <c r="B26" s="115">
        <f>学生表格!U38*学生表格!U26</f>
        <v>213100</v>
      </c>
      <c r="C26" s="115">
        <f>学生表格!$U$38*B49</f>
        <v>250000</v>
      </c>
      <c r="D26" s="115">
        <f>学生表格!$U$38*C49</f>
        <v>400000</v>
      </c>
      <c r="E26" s="115">
        <f>学生表格!$U$38*D49</f>
        <v>500000</v>
      </c>
      <c r="F26" s="115">
        <f>学生表格!$U$38*E49</f>
        <v>300000</v>
      </c>
      <c r="G26" s="115">
        <f>学生表格!$U$38*F49</f>
        <v>220000</v>
      </c>
      <c r="H26" s="116">
        <f t="shared" ref="H26:H27" si="10">SUM(B26:G26)</f>
        <v>1883100</v>
      </c>
    </row>
    <row r="27" spans="1:8" x14ac:dyDescent="0.4">
      <c r="A27" s="163" t="s">
        <v>245</v>
      </c>
      <c r="B27" s="115">
        <f>学生表格!U39*学生表格!U25</f>
        <v>863400</v>
      </c>
      <c r="C27" s="115">
        <f>学生表格!U39*学生表格!U26</f>
        <v>1278600</v>
      </c>
      <c r="D27" s="115">
        <f>学生表格!$U$39*B49</f>
        <v>1500000</v>
      </c>
      <c r="E27" s="115">
        <f>学生表格!$U$39*C49</f>
        <v>2400000</v>
      </c>
      <c r="F27" s="115">
        <f>学生表格!$U$39*D49</f>
        <v>3000000</v>
      </c>
      <c r="G27" s="115">
        <f>学生表格!$U$39*E49</f>
        <v>1800000</v>
      </c>
      <c r="H27" s="116">
        <f t="shared" si="10"/>
        <v>10842000</v>
      </c>
    </row>
    <row r="28" spans="1:8" x14ac:dyDescent="0.4">
      <c r="A28" s="164" t="s">
        <v>246</v>
      </c>
      <c r="B28" s="98">
        <f>SUM(B25:B27)</f>
        <v>1701500</v>
      </c>
      <c r="C28" s="98">
        <f t="shared" ref="C28:H28" si="11">SUM(C25:C27)</f>
        <v>2528600</v>
      </c>
      <c r="D28" s="98">
        <f t="shared" si="11"/>
        <v>3150000</v>
      </c>
      <c r="E28" s="98">
        <f t="shared" si="11"/>
        <v>3650000</v>
      </c>
      <c r="F28" s="98">
        <f t="shared" si="11"/>
        <v>3850000</v>
      </c>
      <c r="G28" s="98">
        <f t="shared" si="11"/>
        <v>2295000</v>
      </c>
      <c r="H28" s="99">
        <f t="shared" si="11"/>
        <v>17175100</v>
      </c>
    </row>
    <row r="29" spans="1:8" s="73" customFormat="1" x14ac:dyDescent="0.4">
      <c r="A29" s="165" t="s">
        <v>247</v>
      </c>
      <c r="B29" s="100">
        <f>B23+B28</f>
        <v>1801500</v>
      </c>
      <c r="C29" s="100">
        <f t="shared" ref="C29:H29" si="12">C23+C28</f>
        <v>2628600</v>
      </c>
      <c r="D29" s="100">
        <f t="shared" si="12"/>
        <v>3250000</v>
      </c>
      <c r="E29" s="100">
        <f t="shared" si="12"/>
        <v>3750000</v>
      </c>
      <c r="F29" s="100">
        <f t="shared" si="12"/>
        <v>3950000</v>
      </c>
      <c r="G29" s="100">
        <f t="shared" si="12"/>
        <v>2395000</v>
      </c>
      <c r="H29" s="101">
        <f t="shared" si="12"/>
        <v>17275100</v>
      </c>
    </row>
    <row r="30" spans="1:8" x14ac:dyDescent="0.4">
      <c r="A30" s="166" t="s">
        <v>248</v>
      </c>
      <c r="B30" s="62"/>
      <c r="C30" s="62"/>
      <c r="D30" s="62"/>
      <c r="E30" s="62"/>
      <c r="F30" s="62"/>
      <c r="G30" s="62"/>
      <c r="H30" s="102"/>
    </row>
    <row r="31" spans="1:8" x14ac:dyDescent="0.4">
      <c r="A31" s="167" t="s">
        <v>249</v>
      </c>
      <c r="B31" s="103">
        <f>学生表格!M30</f>
        <v>700000</v>
      </c>
      <c r="C31" s="103">
        <f>B19</f>
        <v>816000</v>
      </c>
      <c r="D31" s="103">
        <f t="shared" ref="D31:G31" si="13">C19</f>
        <v>1056000</v>
      </c>
      <c r="E31" s="103">
        <f t="shared" si="13"/>
        <v>888000</v>
      </c>
      <c r="F31" s="103">
        <f t="shared" si="13"/>
        <v>552000</v>
      </c>
      <c r="G31" s="103">
        <f t="shared" si="13"/>
        <v>336000</v>
      </c>
      <c r="H31" s="104">
        <f>SUM(B31:G31)</f>
        <v>4348000</v>
      </c>
    </row>
    <row r="32" spans="1:8" x14ac:dyDescent="0.4">
      <c r="A32" s="168" t="s">
        <v>250</v>
      </c>
      <c r="B32" s="105">
        <f>学生表格!M31</f>
        <v>150000</v>
      </c>
      <c r="C32" s="105">
        <f>学生表格!M8</f>
        <v>54000</v>
      </c>
      <c r="D32" s="105">
        <f>学生表格!N8</f>
        <v>264000</v>
      </c>
      <c r="E32" s="105">
        <f>学生表格!O8</f>
        <v>222000</v>
      </c>
      <c r="F32" s="106">
        <f>学生表格!M18</f>
        <v>138000</v>
      </c>
      <c r="G32" s="106">
        <f>学生表格!N18</f>
        <v>84000</v>
      </c>
      <c r="H32" s="107">
        <f t="shared" ref="H32:H37" si="14">SUM(B32:G32)</f>
        <v>912000</v>
      </c>
    </row>
    <row r="33" spans="1:8" x14ac:dyDescent="0.4">
      <c r="A33" s="169" t="s">
        <v>251</v>
      </c>
      <c r="B33" s="117">
        <f>学生表格!M9</f>
        <v>624000</v>
      </c>
      <c r="C33" s="117">
        <f>学生表格!N9</f>
        <v>1008000</v>
      </c>
      <c r="D33" s="117">
        <f>学生表格!O9</f>
        <v>1104000</v>
      </c>
      <c r="E33" s="117">
        <f>学生表格!M19</f>
        <v>672000</v>
      </c>
      <c r="F33" s="117">
        <f>学生表格!N19</f>
        <v>432000</v>
      </c>
      <c r="G33" s="117">
        <f>学生表格!O19</f>
        <v>240000</v>
      </c>
      <c r="H33" s="107">
        <f t="shared" si="14"/>
        <v>4080000</v>
      </c>
    </row>
    <row r="34" spans="1:8" x14ac:dyDescent="0.4">
      <c r="A34" s="169" t="s">
        <v>252</v>
      </c>
      <c r="B34" s="117">
        <f>学生表格!M10</f>
        <v>130000</v>
      </c>
      <c r="C34" s="117">
        <f>学生表格!N10</f>
        <v>195000</v>
      </c>
      <c r="D34" s="117">
        <f>学生表格!O10</f>
        <v>220000</v>
      </c>
      <c r="E34" s="117">
        <f>学生表格!M20</f>
        <v>135000</v>
      </c>
      <c r="F34" s="117">
        <f>学生表格!N20</f>
        <v>110000</v>
      </c>
      <c r="G34" s="117">
        <f>学生表格!O20</f>
        <v>110000</v>
      </c>
      <c r="H34" s="107">
        <f t="shared" si="14"/>
        <v>900000</v>
      </c>
    </row>
    <row r="35" spans="1:8" x14ac:dyDescent="0.4">
      <c r="A35" s="169" t="s">
        <v>253</v>
      </c>
      <c r="B35" s="117">
        <f>学生表格!M11</f>
        <v>390000</v>
      </c>
      <c r="C35" s="117">
        <f>学生表格!N11</f>
        <v>390000</v>
      </c>
      <c r="D35" s="117">
        <f>学生表格!O11</f>
        <v>390000</v>
      </c>
      <c r="E35" s="117">
        <f>学生表格!M21</f>
        <v>340000</v>
      </c>
      <c r="F35" s="117">
        <f>学生表格!N21</f>
        <v>340000</v>
      </c>
      <c r="G35" s="117">
        <f>学生表格!O21</f>
        <v>340000</v>
      </c>
      <c r="H35" s="107">
        <f t="shared" si="14"/>
        <v>2190000</v>
      </c>
    </row>
    <row r="36" spans="1:8" x14ac:dyDescent="0.4">
      <c r="A36" s="169" t="s">
        <v>254</v>
      </c>
      <c r="B36" s="117">
        <f>学生表格!M12</f>
        <v>300000</v>
      </c>
      <c r="C36" s="117">
        <f>学生表格!N12</f>
        <v>300000</v>
      </c>
      <c r="D36" s="117">
        <f>学生表格!O12</f>
        <v>300000</v>
      </c>
      <c r="E36" s="117">
        <f>学生表格!M22</f>
        <v>300000</v>
      </c>
      <c r="F36" s="117">
        <f>学生表格!N22</f>
        <v>300000</v>
      </c>
      <c r="G36" s="117">
        <f>学生表格!O22</f>
        <v>300000</v>
      </c>
      <c r="H36" s="107">
        <f t="shared" si="14"/>
        <v>1800000</v>
      </c>
    </row>
    <row r="37" spans="1:8" x14ac:dyDescent="0.4">
      <c r="A37" s="170" t="s">
        <v>255</v>
      </c>
      <c r="B37" s="118">
        <f>学生表格!M24</f>
        <v>400000</v>
      </c>
      <c r="C37" s="118">
        <f>学生表格!N24</f>
        <v>400000</v>
      </c>
      <c r="D37" s="118">
        <f>学生表格!O24</f>
        <v>400000</v>
      </c>
      <c r="E37" s="118">
        <f>学生表格!M24</f>
        <v>400000</v>
      </c>
      <c r="F37" s="118">
        <f>学生表格!N24</f>
        <v>400000</v>
      </c>
      <c r="G37" s="118">
        <f>学生表格!O24</f>
        <v>400000</v>
      </c>
      <c r="H37" s="108">
        <f t="shared" si="14"/>
        <v>2400000</v>
      </c>
    </row>
    <row r="38" spans="1:8" s="73" customFormat="1" x14ac:dyDescent="0.4">
      <c r="A38" s="164" t="s">
        <v>256</v>
      </c>
      <c r="B38" s="98">
        <f>SUM(B31:B37)</f>
        <v>2694000</v>
      </c>
      <c r="C38" s="98">
        <f t="shared" ref="C38:H38" si="15">SUM(C31:C37)</f>
        <v>3163000</v>
      </c>
      <c r="D38" s="98">
        <f t="shared" si="15"/>
        <v>3734000</v>
      </c>
      <c r="E38" s="98">
        <f t="shared" si="15"/>
        <v>2957000</v>
      </c>
      <c r="F38" s="98">
        <f t="shared" si="15"/>
        <v>2272000</v>
      </c>
      <c r="G38" s="98">
        <f t="shared" si="15"/>
        <v>1810000</v>
      </c>
      <c r="H38" s="99">
        <f t="shared" si="15"/>
        <v>16630000</v>
      </c>
    </row>
    <row r="39" spans="1:8" x14ac:dyDescent="0.4">
      <c r="A39" s="165" t="s">
        <v>268</v>
      </c>
      <c r="B39" s="100">
        <f>B28-B38</f>
        <v>-992500</v>
      </c>
      <c r="C39" s="100">
        <f t="shared" ref="C39:H39" si="16">C28-C38</f>
        <v>-634400</v>
      </c>
      <c r="D39" s="100">
        <f t="shared" si="16"/>
        <v>-584000</v>
      </c>
      <c r="E39" s="100">
        <f t="shared" si="16"/>
        <v>693000</v>
      </c>
      <c r="F39" s="100">
        <f t="shared" si="16"/>
        <v>1578000</v>
      </c>
      <c r="G39" s="100">
        <f t="shared" si="16"/>
        <v>485000</v>
      </c>
      <c r="H39" s="109">
        <f t="shared" si="16"/>
        <v>545100</v>
      </c>
    </row>
    <row r="40" spans="1:8" x14ac:dyDescent="0.4">
      <c r="A40" s="162" t="s">
        <v>257</v>
      </c>
      <c r="B40" s="96"/>
      <c r="C40" s="96"/>
      <c r="D40" s="96"/>
      <c r="E40" s="96"/>
      <c r="F40" s="96"/>
      <c r="G40" s="96"/>
      <c r="H40" s="102"/>
    </row>
    <row r="41" spans="1:8" x14ac:dyDescent="0.4">
      <c r="A41" s="162" t="s">
        <v>258</v>
      </c>
      <c r="B41" s="96">
        <f>学生表格!O36</f>
        <v>800000</v>
      </c>
      <c r="C41" s="96"/>
      <c r="D41" s="96"/>
      <c r="E41" s="96"/>
      <c r="F41" s="96"/>
      <c r="G41" s="96"/>
      <c r="H41" s="104">
        <f>SUM(B41:G41)</f>
        <v>800000</v>
      </c>
    </row>
    <row r="42" spans="1:8" x14ac:dyDescent="0.4">
      <c r="A42" s="162" t="s">
        <v>259</v>
      </c>
      <c r="B42" s="96">
        <f>IF(-B39&gt;B41,-B39-B41,0)</f>
        <v>192500</v>
      </c>
      <c r="C42" s="96">
        <f>IF(C39&lt;0,-C39,0)</f>
        <v>634400</v>
      </c>
      <c r="D42" s="96">
        <f t="shared" ref="D42:G42" si="17">IF(D39&lt;0,-D39,0)</f>
        <v>584000</v>
      </c>
      <c r="E42" s="96">
        <f t="shared" si="17"/>
        <v>0</v>
      </c>
      <c r="F42" s="96">
        <f t="shared" si="17"/>
        <v>0</v>
      </c>
      <c r="G42" s="96">
        <f t="shared" si="17"/>
        <v>0</v>
      </c>
      <c r="H42" s="104">
        <f t="shared" ref="H42:H45" si="18">SUM(B42:G42)</f>
        <v>1410900</v>
      </c>
    </row>
    <row r="43" spans="1:8" x14ac:dyDescent="0.4">
      <c r="A43" s="162" t="s">
        <v>260</v>
      </c>
      <c r="B43" s="96">
        <f>IF(B42&gt;0,0,B39-B41)</f>
        <v>0</v>
      </c>
      <c r="C43" s="96">
        <f>IF(C39&gt;0,MIN(C39,B50),0)</f>
        <v>0</v>
      </c>
      <c r="D43" s="96">
        <f t="shared" ref="D43:G43" si="19">IF(D39&gt;0,MIN(D39,C50),0)</f>
        <v>0</v>
      </c>
      <c r="E43" s="96">
        <f t="shared" si="19"/>
        <v>693000</v>
      </c>
      <c r="F43" s="96">
        <f t="shared" si="19"/>
        <v>1517900</v>
      </c>
      <c r="G43" s="96">
        <f t="shared" si="19"/>
        <v>0</v>
      </c>
      <c r="H43" s="104">
        <f t="shared" si="18"/>
        <v>2210900</v>
      </c>
    </row>
    <row r="44" spans="1:8" x14ac:dyDescent="0.4">
      <c r="A44" s="162" t="s">
        <v>261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104">
        <f t="shared" si="18"/>
        <v>0</v>
      </c>
    </row>
    <row r="45" spans="1:8" x14ac:dyDescent="0.4">
      <c r="A45" s="160" t="s">
        <v>262</v>
      </c>
      <c r="B45" s="92">
        <f t="shared" ref="B45:F45" si="20">IF(B39&gt;B43,B39-B43,0)</f>
        <v>0</v>
      </c>
      <c r="C45" s="92">
        <f t="shared" si="20"/>
        <v>0</v>
      </c>
      <c r="D45" s="92">
        <f t="shared" si="20"/>
        <v>0</v>
      </c>
      <c r="E45" s="92">
        <f t="shared" si="20"/>
        <v>0</v>
      </c>
      <c r="F45" s="92">
        <f t="shared" si="20"/>
        <v>60100</v>
      </c>
      <c r="G45" s="92">
        <f>IF(G39&gt;G43,G39-G43,0)</f>
        <v>485000</v>
      </c>
      <c r="H45" s="104">
        <f t="shared" si="18"/>
        <v>545100</v>
      </c>
    </row>
    <row r="46" spans="1:8" s="73" customFormat="1" x14ac:dyDescent="0.4">
      <c r="A46" s="164" t="s">
        <v>263</v>
      </c>
      <c r="B46" s="98">
        <f>B41+B42-B43-B44-B45</f>
        <v>992500</v>
      </c>
      <c r="C46" s="98">
        <f t="shared" ref="C46:G46" si="21">C41+C42-C43-C44-C45</f>
        <v>634400</v>
      </c>
      <c r="D46" s="98">
        <f t="shared" si="21"/>
        <v>584000</v>
      </c>
      <c r="E46" s="98">
        <f t="shared" si="21"/>
        <v>-693000</v>
      </c>
      <c r="F46" s="98">
        <f t="shared" si="21"/>
        <v>-1578000</v>
      </c>
      <c r="G46" s="98">
        <f t="shared" si="21"/>
        <v>-485000</v>
      </c>
      <c r="H46" s="112">
        <f>SUM(B46:G46)</f>
        <v>-545100</v>
      </c>
    </row>
    <row r="47" spans="1:8" s="73" customFormat="1" x14ac:dyDescent="0.4">
      <c r="A47" s="171" t="s">
        <v>264</v>
      </c>
      <c r="B47" s="113">
        <f>B29-B38+B46</f>
        <v>100000</v>
      </c>
      <c r="C47" s="113">
        <f t="shared" ref="C47:H47" si="22">C29-C38+C46</f>
        <v>100000</v>
      </c>
      <c r="D47" s="113">
        <f t="shared" si="22"/>
        <v>100000</v>
      </c>
      <c r="E47" s="113">
        <f t="shared" si="22"/>
        <v>100000</v>
      </c>
      <c r="F47" s="113">
        <f t="shared" si="22"/>
        <v>100000</v>
      </c>
      <c r="G47" s="113">
        <f t="shared" si="22"/>
        <v>100000</v>
      </c>
      <c r="H47" s="114">
        <f t="shared" si="22"/>
        <v>100000</v>
      </c>
    </row>
    <row r="49" spans="1:9" x14ac:dyDescent="0.4">
      <c r="A49" s="172" t="s">
        <v>265</v>
      </c>
      <c r="B49" s="119">
        <f>学生表格!U27</f>
        <v>2500000</v>
      </c>
      <c r="C49" s="119">
        <f>学生表格!U28</f>
        <v>4000000</v>
      </c>
      <c r="D49" s="119">
        <f>学生表格!U29</f>
        <v>5000000</v>
      </c>
      <c r="E49" s="119">
        <f>学生表格!U30</f>
        <v>3000000</v>
      </c>
      <c r="F49" s="119">
        <f>学生表格!U31</f>
        <v>2200000</v>
      </c>
      <c r="G49" s="120">
        <f>学生表格!U32</f>
        <v>1100000</v>
      </c>
      <c r="H49" s="121"/>
      <c r="I49" s="110"/>
    </row>
    <row r="50" spans="1:9" x14ac:dyDescent="0.4">
      <c r="A50" s="173" t="s">
        <v>266</v>
      </c>
      <c r="B50" s="122">
        <f>SUM($B41:B42)-SUM($B43:B43)</f>
        <v>992500</v>
      </c>
      <c r="C50" s="122">
        <f>SUM($B41:C42)-SUM($B43:C43)</f>
        <v>1626900</v>
      </c>
      <c r="D50" s="122">
        <f>SUM($B41:D42)-SUM($B43:D43)</f>
        <v>2210900</v>
      </c>
      <c r="E50" s="122">
        <f>SUM($B41:E42)-SUM($B43:E43)</f>
        <v>1517900</v>
      </c>
      <c r="F50" s="122">
        <f>SUM($B41:F42)-SUM($B43:F43)</f>
        <v>0</v>
      </c>
      <c r="G50" s="123">
        <f>SUM($B41:G42)-SUM($B43:G43)</f>
        <v>0</v>
      </c>
      <c r="H50" s="111"/>
      <c r="I50" s="111"/>
    </row>
    <row r="51" spans="1:9" x14ac:dyDescent="0.4">
      <c r="A51" s="174" t="s">
        <v>267</v>
      </c>
      <c r="B51" s="124">
        <f>SUM($B45:B45)</f>
        <v>0</v>
      </c>
      <c r="C51" s="124">
        <f>SUM($B45:C45)</f>
        <v>0</v>
      </c>
      <c r="D51" s="124">
        <f>SUM($B45:D45)</f>
        <v>0</v>
      </c>
      <c r="E51" s="124">
        <f>SUM($B45:E45)</f>
        <v>0</v>
      </c>
      <c r="F51" s="124">
        <f>SUM($B45:F45)</f>
        <v>60100</v>
      </c>
      <c r="G51" s="125">
        <f>SUM($B45:G45)</f>
        <v>545100</v>
      </c>
      <c r="H51" s="126"/>
    </row>
    <row r="52" spans="1:9" x14ac:dyDescent="0.4">
      <c r="A52" s="175"/>
    </row>
    <row r="53" spans="1:9" x14ac:dyDescent="0.4">
      <c r="A53" s="175"/>
    </row>
    <row r="54" spans="1:9" x14ac:dyDescent="0.4">
      <c r="A54" s="175"/>
    </row>
    <row r="55" spans="1:9" x14ac:dyDescent="0.4">
      <c r="A55" s="175"/>
    </row>
    <row r="56" spans="1:9" x14ac:dyDescent="0.4">
      <c r="A56" s="175"/>
    </row>
    <row r="57" spans="1:9" x14ac:dyDescent="0.4">
      <c r="A57" s="175"/>
    </row>
  </sheetData>
  <mergeCells count="3">
    <mergeCell ref="A1:H1"/>
    <mergeCell ref="A9:H9"/>
    <mergeCell ref="A21:H21"/>
  </mergeCells>
  <phoneticPr fontId="2" type="noConversion"/>
  <pageMargins left="0.7" right="0.7" top="0.75" bottom="0.75" header="0.3" footer="0.3"/>
  <pageSetup scale="6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85" zoomScaleNormal="85" workbookViewId="0">
      <selection activeCell="A22" sqref="A22:H22"/>
    </sheetView>
  </sheetViews>
  <sheetFormatPr defaultColWidth="8.9140625" defaultRowHeight="15.5" x14ac:dyDescent="0.4"/>
  <cols>
    <col min="1" max="1" width="30.08203125" style="155" customWidth="1"/>
    <col min="2" max="8" width="15.4140625" style="1" bestFit="1" customWidth="1"/>
    <col min="9" max="9" width="13.6640625" style="1" bestFit="1" customWidth="1"/>
    <col min="10" max="10" width="20" style="1" bestFit="1" customWidth="1"/>
    <col min="11" max="11" width="10.6640625" style="1" bestFit="1" customWidth="1"/>
    <col min="12" max="13" width="12.4140625" style="1" bestFit="1" customWidth="1"/>
    <col min="14" max="16" width="10.6640625" style="1" bestFit="1" customWidth="1"/>
    <col min="17" max="18" width="9.6640625" style="1" bestFit="1" customWidth="1"/>
    <col min="19" max="16384" width="8.9140625" style="1"/>
  </cols>
  <sheetData>
    <row r="1" spans="1:8" ht="16" thickBot="1" x14ac:dyDescent="0.45">
      <c r="A1" s="142" t="s">
        <v>203</v>
      </c>
      <c r="B1" s="143"/>
      <c r="C1" s="143"/>
      <c r="D1" s="143"/>
      <c r="E1" s="143"/>
      <c r="F1" s="143"/>
      <c r="G1" s="143"/>
      <c r="H1" s="144"/>
    </row>
    <row r="2" spans="1:8" s="73" customFormat="1" ht="14" x14ac:dyDescent="0.3">
      <c r="A2" s="184"/>
      <c r="B2" s="182" t="s">
        <v>192</v>
      </c>
      <c r="C2" s="182" t="s">
        <v>193</v>
      </c>
      <c r="D2" s="182" t="s">
        <v>194</v>
      </c>
      <c r="E2" s="182" t="s">
        <v>195</v>
      </c>
      <c r="F2" s="182" t="s">
        <v>271</v>
      </c>
      <c r="G2" s="182" t="s">
        <v>196</v>
      </c>
      <c r="H2" s="183" t="s">
        <v>197</v>
      </c>
    </row>
    <row r="3" spans="1:8" x14ac:dyDescent="0.4">
      <c r="A3" s="151" t="s">
        <v>228</v>
      </c>
      <c r="B3" s="74">
        <f>学生表格!$U$44</f>
        <v>3000</v>
      </c>
      <c r="C3" s="74">
        <f>学生表格!$U$44</f>
        <v>3000</v>
      </c>
      <c r="D3" s="74">
        <f>学生表格!$U$44</f>
        <v>3000</v>
      </c>
      <c r="E3" s="74">
        <f>学生表格!$U$44</f>
        <v>3000</v>
      </c>
      <c r="F3" s="74">
        <f>学生表格!$U$44</f>
        <v>3000</v>
      </c>
      <c r="G3" s="74">
        <f>学生表格!$U$44</f>
        <v>3000</v>
      </c>
      <c r="H3" s="76">
        <f>SUM(B3:G3)</f>
        <v>18000</v>
      </c>
    </row>
    <row r="4" spans="1:8" x14ac:dyDescent="0.4">
      <c r="A4" s="152" t="s">
        <v>229</v>
      </c>
      <c r="B4" s="77">
        <f>基于预测的答案!B6</f>
        <v>1000</v>
      </c>
      <c r="C4" s="77">
        <f>B7</f>
        <v>1500</v>
      </c>
      <c r="D4" s="77">
        <f t="shared" ref="D4:G4" si="0">C7</f>
        <v>500</v>
      </c>
      <c r="E4" s="77">
        <f t="shared" si="0"/>
        <v>-1500</v>
      </c>
      <c r="F4" s="77">
        <f t="shared" si="0"/>
        <v>-1500</v>
      </c>
      <c r="G4" s="77">
        <f t="shared" si="0"/>
        <v>-500</v>
      </c>
      <c r="H4" s="78">
        <f>B4</f>
        <v>1000</v>
      </c>
    </row>
    <row r="5" spans="1:8" x14ac:dyDescent="0.4">
      <c r="A5" s="153" t="s">
        <v>230</v>
      </c>
      <c r="B5" s="79">
        <f>SUM(B3:B4)</f>
        <v>4000</v>
      </c>
      <c r="C5" s="79">
        <f t="shared" ref="C5:H5" si="1">SUM(C3:C4)</f>
        <v>4500</v>
      </c>
      <c r="D5" s="79">
        <f t="shared" si="1"/>
        <v>3500</v>
      </c>
      <c r="E5" s="79">
        <f t="shared" si="1"/>
        <v>1500</v>
      </c>
      <c r="F5" s="79">
        <f t="shared" si="1"/>
        <v>1500</v>
      </c>
      <c r="G5" s="79">
        <f t="shared" si="1"/>
        <v>2500</v>
      </c>
      <c r="H5" s="80">
        <f t="shared" si="1"/>
        <v>19000</v>
      </c>
    </row>
    <row r="6" spans="1:8" s="62" customFormat="1" x14ac:dyDescent="0.4">
      <c r="A6" s="152" t="s">
        <v>231</v>
      </c>
      <c r="B6" s="77">
        <f>基于预测的答案!B3</f>
        <v>2500</v>
      </c>
      <c r="C6" s="77">
        <f>基于预测的答案!C3</f>
        <v>4000</v>
      </c>
      <c r="D6" s="77">
        <f>基于预测的答案!D3</f>
        <v>5000</v>
      </c>
      <c r="E6" s="77">
        <f>基于预测的答案!E3</f>
        <v>3000</v>
      </c>
      <c r="F6" s="77">
        <f>基于预测的答案!F3</f>
        <v>2000</v>
      </c>
      <c r="G6" s="77">
        <f>基于预测的答案!G3</f>
        <v>1000</v>
      </c>
      <c r="H6" s="78">
        <f>基于预测的答案!H3</f>
        <v>17500</v>
      </c>
    </row>
    <row r="7" spans="1:8" s="73" customFormat="1" x14ac:dyDescent="0.4">
      <c r="A7" s="154" t="s">
        <v>232</v>
      </c>
      <c r="B7" s="81">
        <f>B5-B6</f>
        <v>1500</v>
      </c>
      <c r="C7" s="81">
        <f t="shared" ref="C7:H7" si="2">C5-C6</f>
        <v>500</v>
      </c>
      <c r="D7" s="81">
        <f t="shared" si="2"/>
        <v>-1500</v>
      </c>
      <c r="E7" s="81">
        <f t="shared" si="2"/>
        <v>-1500</v>
      </c>
      <c r="F7" s="81">
        <f t="shared" si="2"/>
        <v>-500</v>
      </c>
      <c r="G7" s="81">
        <f t="shared" si="2"/>
        <v>1500</v>
      </c>
      <c r="H7" s="82">
        <f t="shared" si="2"/>
        <v>1500</v>
      </c>
    </row>
    <row r="8" spans="1:8" ht="16" thickBot="1" x14ac:dyDescent="0.45"/>
    <row r="9" spans="1:8" ht="16" thickBot="1" x14ac:dyDescent="0.45">
      <c r="A9" s="142" t="s">
        <v>210</v>
      </c>
      <c r="B9" s="143"/>
      <c r="C9" s="143"/>
      <c r="D9" s="143"/>
      <c r="E9" s="143"/>
      <c r="F9" s="143"/>
      <c r="G9" s="143"/>
      <c r="H9" s="144"/>
    </row>
    <row r="10" spans="1:8" s="73" customFormat="1" ht="14" x14ac:dyDescent="0.3">
      <c r="A10" s="184"/>
      <c r="B10" s="182" t="s">
        <v>192</v>
      </c>
      <c r="C10" s="182" t="s">
        <v>193</v>
      </c>
      <c r="D10" s="182" t="s">
        <v>194</v>
      </c>
      <c r="E10" s="182" t="s">
        <v>195</v>
      </c>
      <c r="F10" s="182" t="s">
        <v>271</v>
      </c>
      <c r="G10" s="182" t="s">
        <v>196</v>
      </c>
      <c r="H10" s="183" t="s">
        <v>197</v>
      </c>
    </row>
    <row r="11" spans="1:8" x14ac:dyDescent="0.4">
      <c r="A11" s="151" t="s">
        <v>233</v>
      </c>
      <c r="B11" s="74">
        <f>B3</f>
        <v>3000</v>
      </c>
      <c r="C11" s="74">
        <f t="shared" ref="C11:G11" si="3">C3</f>
        <v>3000</v>
      </c>
      <c r="D11" s="74">
        <f t="shared" si="3"/>
        <v>3000</v>
      </c>
      <c r="E11" s="74">
        <f t="shared" si="3"/>
        <v>3000</v>
      </c>
      <c r="F11" s="74">
        <f t="shared" si="3"/>
        <v>3000</v>
      </c>
      <c r="G11" s="74">
        <f t="shared" si="3"/>
        <v>3000</v>
      </c>
      <c r="H11" s="76">
        <f>H3</f>
        <v>18000</v>
      </c>
    </row>
    <row r="12" spans="1:8" x14ac:dyDescent="0.4">
      <c r="A12" s="156" t="s">
        <v>234</v>
      </c>
      <c r="B12" s="83">
        <f>学生表格!$F$23</f>
        <v>30</v>
      </c>
      <c r="C12" s="83">
        <f>学生表格!$F$23</f>
        <v>30</v>
      </c>
      <c r="D12" s="83">
        <f>学生表格!$F$23</f>
        <v>30</v>
      </c>
      <c r="E12" s="83">
        <f>学生表格!$F$23</f>
        <v>30</v>
      </c>
      <c r="F12" s="83">
        <f>学生表格!$F$23</f>
        <v>30</v>
      </c>
      <c r="G12" s="83">
        <f>学生表格!$F$23</f>
        <v>30</v>
      </c>
      <c r="H12" s="84">
        <f>学生表格!$F$23</f>
        <v>30</v>
      </c>
    </row>
    <row r="13" spans="1:8" s="73" customFormat="1" x14ac:dyDescent="0.4">
      <c r="A13" s="157" t="s">
        <v>235</v>
      </c>
      <c r="B13" s="85">
        <f>B11*B12</f>
        <v>90000</v>
      </c>
      <c r="C13" s="85">
        <f t="shared" ref="C13:H13" si="4">C11*C12</f>
        <v>90000</v>
      </c>
      <c r="D13" s="85">
        <f t="shared" si="4"/>
        <v>90000</v>
      </c>
      <c r="E13" s="85">
        <f t="shared" si="4"/>
        <v>90000</v>
      </c>
      <c r="F13" s="85">
        <f t="shared" si="4"/>
        <v>90000</v>
      </c>
      <c r="G13" s="85">
        <f t="shared" si="4"/>
        <v>90000</v>
      </c>
      <c r="H13" s="86">
        <f t="shared" si="4"/>
        <v>540000</v>
      </c>
    </row>
    <row r="14" spans="1:8" x14ac:dyDescent="0.4">
      <c r="A14" s="158" t="s">
        <v>229</v>
      </c>
      <c r="B14" s="87">
        <f>学生表格!$E$36*C13</f>
        <v>45000</v>
      </c>
      <c r="C14" s="87">
        <f>学生表格!$E$36*D13</f>
        <v>45000</v>
      </c>
      <c r="D14" s="87">
        <f>学生表格!$E$36*E13</f>
        <v>45000</v>
      </c>
      <c r="E14" s="87">
        <f>学生表格!$E$36*F13</f>
        <v>45000</v>
      </c>
      <c r="F14" s="87">
        <f>学生表格!$E$36*G13</f>
        <v>45000</v>
      </c>
      <c r="G14" s="87">
        <f>F14</f>
        <v>45000</v>
      </c>
      <c r="H14" s="88">
        <f>G14</f>
        <v>45000</v>
      </c>
    </row>
    <row r="15" spans="1:8" s="73" customFormat="1" x14ac:dyDescent="0.4">
      <c r="A15" s="157" t="s">
        <v>236</v>
      </c>
      <c r="B15" s="85">
        <f>B13+B14</f>
        <v>135000</v>
      </c>
      <c r="C15" s="85">
        <f t="shared" ref="C15:H15" si="5">C13+C14</f>
        <v>135000</v>
      </c>
      <c r="D15" s="85">
        <f t="shared" si="5"/>
        <v>135000</v>
      </c>
      <c r="E15" s="85">
        <f t="shared" si="5"/>
        <v>135000</v>
      </c>
      <c r="F15" s="85">
        <f t="shared" si="5"/>
        <v>135000</v>
      </c>
      <c r="G15" s="85">
        <f t="shared" si="5"/>
        <v>135000</v>
      </c>
      <c r="H15" s="86">
        <f t="shared" si="5"/>
        <v>585000</v>
      </c>
    </row>
    <row r="16" spans="1:8" x14ac:dyDescent="0.4">
      <c r="A16" s="159" t="s">
        <v>237</v>
      </c>
      <c r="B16" s="90">
        <f>学生表格!E39</f>
        <v>39000</v>
      </c>
      <c r="C16" s="87">
        <f>B14</f>
        <v>45000</v>
      </c>
      <c r="D16" s="87">
        <f t="shared" ref="D16:G16" si="6">C14</f>
        <v>45000</v>
      </c>
      <c r="E16" s="87">
        <f t="shared" si="6"/>
        <v>45000</v>
      </c>
      <c r="F16" s="87">
        <f t="shared" si="6"/>
        <v>45000</v>
      </c>
      <c r="G16" s="87">
        <f t="shared" si="6"/>
        <v>45000</v>
      </c>
      <c r="H16" s="91">
        <f>B16</f>
        <v>39000</v>
      </c>
    </row>
    <row r="17" spans="1:18" s="73" customFormat="1" x14ac:dyDescent="0.4">
      <c r="A17" s="157" t="s">
        <v>238</v>
      </c>
      <c r="B17" s="85">
        <f>B15-B16</f>
        <v>96000</v>
      </c>
      <c r="C17" s="85">
        <f t="shared" ref="C17:H17" si="7">C15-C16</f>
        <v>90000</v>
      </c>
      <c r="D17" s="85">
        <f t="shared" si="7"/>
        <v>90000</v>
      </c>
      <c r="E17" s="85">
        <f t="shared" si="7"/>
        <v>90000</v>
      </c>
      <c r="F17" s="85">
        <f t="shared" si="7"/>
        <v>90000</v>
      </c>
      <c r="G17" s="85">
        <f t="shared" si="7"/>
        <v>90000</v>
      </c>
      <c r="H17" s="86">
        <f t="shared" si="7"/>
        <v>546000</v>
      </c>
    </row>
    <row r="18" spans="1:18" x14ac:dyDescent="0.4">
      <c r="A18" s="160" t="s">
        <v>239</v>
      </c>
      <c r="B18" s="92">
        <f>学生表格!$B$31</f>
        <v>8</v>
      </c>
      <c r="C18" s="92">
        <f>学生表格!$B$31</f>
        <v>8</v>
      </c>
      <c r="D18" s="92">
        <f>学生表格!$B$31</f>
        <v>8</v>
      </c>
      <c r="E18" s="92">
        <f>学生表格!$B$31</f>
        <v>8</v>
      </c>
      <c r="F18" s="92">
        <f>学生表格!$B$31</f>
        <v>8</v>
      </c>
      <c r="G18" s="92">
        <f>学生表格!$B$31</f>
        <v>8</v>
      </c>
      <c r="H18" s="93">
        <f>学生表格!$B$31</f>
        <v>8</v>
      </c>
    </row>
    <row r="19" spans="1:18" s="73" customFormat="1" x14ac:dyDescent="0.4">
      <c r="A19" s="161" t="s">
        <v>240</v>
      </c>
      <c r="B19" s="94">
        <f>B17*B18</f>
        <v>768000</v>
      </c>
      <c r="C19" s="94">
        <f t="shared" ref="C19:H19" si="8">C17*C18</f>
        <v>720000</v>
      </c>
      <c r="D19" s="94">
        <f t="shared" si="8"/>
        <v>720000</v>
      </c>
      <c r="E19" s="94">
        <f t="shared" si="8"/>
        <v>720000</v>
      </c>
      <c r="F19" s="94">
        <f t="shared" si="8"/>
        <v>720000</v>
      </c>
      <c r="G19" s="94">
        <f t="shared" si="8"/>
        <v>720000</v>
      </c>
      <c r="H19" s="95">
        <f t="shared" si="8"/>
        <v>4368000</v>
      </c>
    </row>
    <row r="20" spans="1:18" ht="16" thickBot="1" x14ac:dyDescent="0.45"/>
    <row r="21" spans="1:18" ht="16" thickBot="1" x14ac:dyDescent="0.45">
      <c r="A21" s="142" t="s">
        <v>206</v>
      </c>
      <c r="B21" s="143"/>
      <c r="C21" s="143"/>
      <c r="D21" s="143"/>
      <c r="E21" s="143"/>
      <c r="F21" s="143"/>
      <c r="G21" s="143"/>
      <c r="H21" s="144"/>
      <c r="J21" s="145" t="s">
        <v>211</v>
      </c>
      <c r="K21" s="146"/>
      <c r="L21" s="146"/>
      <c r="M21" s="146"/>
      <c r="N21" s="146"/>
      <c r="O21" s="146"/>
      <c r="P21" s="146"/>
      <c r="Q21" s="146"/>
      <c r="R21" s="147"/>
    </row>
    <row r="22" spans="1:18" s="73" customFormat="1" x14ac:dyDescent="0.4">
      <c r="A22" s="184"/>
      <c r="B22" s="182" t="s">
        <v>192</v>
      </c>
      <c r="C22" s="182" t="s">
        <v>193</v>
      </c>
      <c r="D22" s="182" t="s">
        <v>194</v>
      </c>
      <c r="E22" s="182" t="s">
        <v>195</v>
      </c>
      <c r="F22" s="182" t="s">
        <v>271</v>
      </c>
      <c r="G22" s="182" t="s">
        <v>196</v>
      </c>
      <c r="H22" s="183" t="s">
        <v>197</v>
      </c>
      <c r="J22" s="72"/>
      <c r="K22" s="127" t="s">
        <v>3</v>
      </c>
      <c r="L22" s="127" t="s">
        <v>4</v>
      </c>
      <c r="M22" s="127" t="s">
        <v>212</v>
      </c>
      <c r="N22" s="127" t="s">
        <v>17</v>
      </c>
      <c r="O22" s="127" t="s">
        <v>56</v>
      </c>
      <c r="P22" s="127" t="s">
        <v>18</v>
      </c>
      <c r="Q22" s="128" t="s">
        <v>213</v>
      </c>
      <c r="R22" s="129" t="s">
        <v>214</v>
      </c>
    </row>
    <row r="23" spans="1:18" x14ac:dyDescent="0.4">
      <c r="A23" s="162" t="s">
        <v>241</v>
      </c>
      <c r="B23" s="96">
        <f>学生表格!O39</f>
        <v>100000</v>
      </c>
      <c r="C23" s="96">
        <f>B47</f>
        <v>100000</v>
      </c>
      <c r="D23" s="96">
        <f t="shared" ref="D23:G23" si="9">C47</f>
        <v>100000</v>
      </c>
      <c r="E23" s="96">
        <f t="shared" si="9"/>
        <v>100000</v>
      </c>
      <c r="F23" s="96">
        <f t="shared" si="9"/>
        <v>100000</v>
      </c>
      <c r="G23" s="96">
        <f t="shared" si="9"/>
        <v>100000</v>
      </c>
      <c r="H23" s="97">
        <f>B23</f>
        <v>100000</v>
      </c>
      <c r="J23" s="130" t="s">
        <v>215</v>
      </c>
      <c r="K23" s="131">
        <f>基于预测的答案!B7</f>
        <v>2600</v>
      </c>
      <c r="L23" s="131">
        <f>基于预测的答案!C7</f>
        <v>4200</v>
      </c>
      <c r="M23" s="131">
        <f>基于预测的答案!D7</f>
        <v>4600</v>
      </c>
      <c r="N23" s="131">
        <f>基于预测的答案!E7</f>
        <v>2800</v>
      </c>
      <c r="O23" s="131">
        <f>基于预测的答案!F7</f>
        <v>1800</v>
      </c>
      <c r="P23" s="131">
        <f>基于预测的答案!G7</f>
        <v>1000</v>
      </c>
      <c r="Q23" s="130"/>
      <c r="R23" s="132"/>
    </row>
    <row r="24" spans="1:18" x14ac:dyDescent="0.4">
      <c r="A24" s="162" t="s">
        <v>242</v>
      </c>
      <c r="B24" s="96"/>
      <c r="C24" s="96"/>
      <c r="D24" s="96"/>
      <c r="E24" s="96"/>
      <c r="F24" s="96"/>
      <c r="G24" s="96"/>
      <c r="H24" s="97"/>
      <c r="J24" s="133" t="s">
        <v>122</v>
      </c>
      <c r="K24" s="96">
        <f>学生表格!M8</f>
        <v>54000</v>
      </c>
      <c r="L24" s="96">
        <f>学生表格!N8</f>
        <v>264000</v>
      </c>
      <c r="M24" s="96">
        <f>学生表格!O8</f>
        <v>222000</v>
      </c>
      <c r="N24" s="96">
        <f>学生表格!M18</f>
        <v>138000</v>
      </c>
      <c r="O24" s="96">
        <f>学生表格!N18</f>
        <v>84000</v>
      </c>
      <c r="P24" s="96">
        <f>学生表格!O18</f>
        <v>90000</v>
      </c>
      <c r="Q24" s="134">
        <f>SLOPE(M24:P24,M23:P23)</f>
        <v>39.709543568464731</v>
      </c>
      <c r="R24" s="97">
        <f>INTERCEPT(M24:P24,M23:P23)</f>
        <v>32240.663900414933</v>
      </c>
    </row>
    <row r="25" spans="1:18" x14ac:dyDescent="0.4">
      <c r="A25" s="162" t="s">
        <v>243</v>
      </c>
      <c r="B25" s="96">
        <f>学生表格!$U$37*B49</f>
        <v>625000</v>
      </c>
      <c r="C25" s="96">
        <f>学生表格!$U$37*C49</f>
        <v>1000000</v>
      </c>
      <c r="D25" s="96">
        <f>学生表格!$U$37*D49</f>
        <v>1250000</v>
      </c>
      <c r="E25" s="96">
        <f>学生表格!$U$37*E49</f>
        <v>750000</v>
      </c>
      <c r="F25" s="96">
        <f>学生表格!$U$37*F49</f>
        <v>550000</v>
      </c>
      <c r="G25" s="96">
        <f>学生表格!$U$37*G49</f>
        <v>275000</v>
      </c>
      <c r="H25" s="97">
        <f>SUM(B25:G25)</f>
        <v>4450000</v>
      </c>
      <c r="J25" s="133" t="s">
        <v>216</v>
      </c>
      <c r="K25" s="96">
        <f>学生表格!M9</f>
        <v>624000</v>
      </c>
      <c r="L25" s="96">
        <f>学生表格!N9</f>
        <v>1008000</v>
      </c>
      <c r="M25" s="96">
        <f>学生表格!O9</f>
        <v>1104000</v>
      </c>
      <c r="N25" s="96">
        <f>学生表格!M19</f>
        <v>672000</v>
      </c>
      <c r="O25" s="96">
        <f>学生表格!N19</f>
        <v>432000</v>
      </c>
      <c r="P25" s="96">
        <f>学生表格!O19</f>
        <v>240000</v>
      </c>
      <c r="Q25" s="134">
        <f>SLOPE(K25:P25,K$23:P$23)</f>
        <v>240.00000000000003</v>
      </c>
      <c r="R25" s="97">
        <f>INTERCEPT(K25:P25,K$23:P$23)</f>
        <v>-1.1641532182693481E-10</v>
      </c>
    </row>
    <row r="26" spans="1:18" x14ac:dyDescent="0.4">
      <c r="A26" s="163" t="s">
        <v>244</v>
      </c>
      <c r="B26" s="115">
        <f>学生表格!U38*学生表格!U26</f>
        <v>213100</v>
      </c>
      <c r="C26" s="115">
        <f>学生表格!$U$38*B49</f>
        <v>250000</v>
      </c>
      <c r="D26" s="115">
        <f>学生表格!$U$38*C49</f>
        <v>400000</v>
      </c>
      <c r="E26" s="115">
        <f>学生表格!$U$38*D49</f>
        <v>500000</v>
      </c>
      <c r="F26" s="115">
        <f>学生表格!$U$38*E49</f>
        <v>300000</v>
      </c>
      <c r="G26" s="115">
        <f>学生表格!$U$38*F49</f>
        <v>220000</v>
      </c>
      <c r="H26" s="116">
        <f t="shared" ref="H26:H27" si="10">SUM(B26:G26)</f>
        <v>1883100</v>
      </c>
      <c r="J26" s="135" t="s">
        <v>217</v>
      </c>
      <c r="K26" s="92">
        <f>学生表格!M10</f>
        <v>130000</v>
      </c>
      <c r="L26" s="92">
        <f>学生表格!N10</f>
        <v>195000</v>
      </c>
      <c r="M26" s="92">
        <f>学生表格!O10</f>
        <v>220000</v>
      </c>
      <c r="N26" s="92">
        <f>学生表格!M20</f>
        <v>135000</v>
      </c>
      <c r="O26" s="92">
        <f>学生表格!N20</f>
        <v>110000</v>
      </c>
      <c r="P26" s="92">
        <f>学生表格!O20</f>
        <v>110000</v>
      </c>
      <c r="Q26" s="136">
        <f>SLOPE(K26:P26,K$23:P$23)</f>
        <v>32.195636875439838</v>
      </c>
      <c r="R26" s="93">
        <f>INTERCEPT(K26:P26,K$23:P$23)</f>
        <v>58779.028852920455</v>
      </c>
    </row>
    <row r="27" spans="1:18" x14ac:dyDescent="0.4">
      <c r="A27" s="163" t="s">
        <v>245</v>
      </c>
      <c r="B27" s="115">
        <f>学生表格!U39*学生表格!U25</f>
        <v>863400</v>
      </c>
      <c r="C27" s="115">
        <f>学生表格!U39*学生表格!U26</f>
        <v>1278600</v>
      </c>
      <c r="D27" s="115">
        <f>学生表格!$U$39*B49</f>
        <v>1500000</v>
      </c>
      <c r="E27" s="115">
        <f>学生表格!$U$39*C49</f>
        <v>2400000</v>
      </c>
      <c r="F27" s="115">
        <f>学生表格!$U$39*D49</f>
        <v>3000000</v>
      </c>
      <c r="G27" s="115">
        <f>学生表格!$U$39*E49</f>
        <v>1800000</v>
      </c>
      <c r="H27" s="116">
        <f t="shared" si="10"/>
        <v>10842000</v>
      </c>
    </row>
    <row r="28" spans="1:18" x14ac:dyDescent="0.4">
      <c r="A28" s="164" t="s">
        <v>246</v>
      </c>
      <c r="B28" s="98">
        <f>SUM(B25:B27)</f>
        <v>1701500</v>
      </c>
      <c r="C28" s="98">
        <f t="shared" ref="C28:H28" si="11">SUM(C25:C27)</f>
        <v>2528600</v>
      </c>
      <c r="D28" s="98">
        <f t="shared" si="11"/>
        <v>3150000</v>
      </c>
      <c r="E28" s="98">
        <f t="shared" si="11"/>
        <v>3650000</v>
      </c>
      <c r="F28" s="98">
        <f t="shared" si="11"/>
        <v>3850000</v>
      </c>
      <c r="G28" s="98">
        <f t="shared" si="11"/>
        <v>2295000</v>
      </c>
      <c r="H28" s="99">
        <f t="shared" si="11"/>
        <v>17175100</v>
      </c>
    </row>
    <row r="29" spans="1:18" s="73" customFormat="1" x14ac:dyDescent="0.4">
      <c r="A29" s="165" t="s">
        <v>247</v>
      </c>
      <c r="B29" s="100">
        <f>B23+B28</f>
        <v>1801500</v>
      </c>
      <c r="C29" s="100">
        <f t="shared" ref="C29:H29" si="12">C23+C28</f>
        <v>2628600</v>
      </c>
      <c r="D29" s="100">
        <f t="shared" si="12"/>
        <v>3250000</v>
      </c>
      <c r="E29" s="100">
        <f t="shared" si="12"/>
        <v>3750000</v>
      </c>
      <c r="F29" s="100">
        <f t="shared" si="12"/>
        <v>3950000</v>
      </c>
      <c r="G29" s="100">
        <f t="shared" si="12"/>
        <v>2395000</v>
      </c>
      <c r="H29" s="101">
        <f t="shared" si="12"/>
        <v>17275100</v>
      </c>
    </row>
    <row r="30" spans="1:18" x14ac:dyDescent="0.4">
      <c r="A30" s="166" t="s">
        <v>248</v>
      </c>
      <c r="B30" s="62"/>
      <c r="C30" s="62"/>
      <c r="D30" s="62"/>
      <c r="E30" s="62"/>
      <c r="F30" s="62"/>
      <c r="G30" s="62"/>
      <c r="H30" s="102"/>
    </row>
    <row r="31" spans="1:18" x14ac:dyDescent="0.4">
      <c r="A31" s="167" t="s">
        <v>249</v>
      </c>
      <c r="B31" s="103">
        <f>学生表格!M30</f>
        <v>700000</v>
      </c>
      <c r="C31" s="103">
        <f>B19</f>
        <v>768000</v>
      </c>
      <c r="D31" s="103">
        <f t="shared" ref="D31:G31" si="13">C19</f>
        <v>720000</v>
      </c>
      <c r="E31" s="103">
        <f t="shared" si="13"/>
        <v>720000</v>
      </c>
      <c r="F31" s="103">
        <f t="shared" si="13"/>
        <v>720000</v>
      </c>
      <c r="G31" s="103">
        <f t="shared" si="13"/>
        <v>720000</v>
      </c>
      <c r="H31" s="104">
        <f>SUM(B31:G31)</f>
        <v>4348000</v>
      </c>
    </row>
    <row r="32" spans="1:18" x14ac:dyDescent="0.4">
      <c r="A32" s="168" t="s">
        <v>250</v>
      </c>
      <c r="B32" s="105">
        <f>学生表格!M31</f>
        <v>150000</v>
      </c>
      <c r="C32" s="105">
        <f>$R$24+$Q$24*B11</f>
        <v>151369.29460580915</v>
      </c>
      <c r="D32" s="105">
        <f t="shared" ref="D32:G32" si="14">$R$24+$Q$24*C11</f>
        <v>151369.29460580915</v>
      </c>
      <c r="E32" s="105">
        <f t="shared" si="14"/>
        <v>151369.29460580915</v>
      </c>
      <c r="F32" s="105">
        <f t="shared" si="14"/>
        <v>151369.29460580915</v>
      </c>
      <c r="G32" s="105">
        <f t="shared" si="14"/>
        <v>151369.29460580915</v>
      </c>
      <c r="H32" s="107">
        <f t="shared" ref="H32:H37" si="15">SUM(B32:G32)</f>
        <v>906846.47302904574</v>
      </c>
    </row>
    <row r="33" spans="1:8" x14ac:dyDescent="0.4">
      <c r="A33" s="169" t="s">
        <v>251</v>
      </c>
      <c r="B33" s="117">
        <f>$Q$25*B11</f>
        <v>720000.00000000012</v>
      </c>
      <c r="C33" s="117">
        <f t="shared" ref="C33:G33" si="16">$Q$25*C11</f>
        <v>720000.00000000012</v>
      </c>
      <c r="D33" s="117">
        <f t="shared" si="16"/>
        <v>720000.00000000012</v>
      </c>
      <c r="E33" s="117">
        <f t="shared" si="16"/>
        <v>720000.00000000012</v>
      </c>
      <c r="F33" s="117">
        <f t="shared" si="16"/>
        <v>720000.00000000012</v>
      </c>
      <c r="G33" s="117">
        <f t="shared" si="16"/>
        <v>720000.00000000012</v>
      </c>
      <c r="H33" s="107">
        <f t="shared" si="15"/>
        <v>4320000.0000000009</v>
      </c>
    </row>
    <row r="34" spans="1:8" x14ac:dyDescent="0.4">
      <c r="A34" s="169" t="s">
        <v>252</v>
      </c>
      <c r="B34" s="117">
        <f>$Q$26*B11+$R$26</f>
        <v>155365.93947923998</v>
      </c>
      <c r="C34" s="117">
        <f t="shared" ref="C34:G34" si="17">$Q$26*C11+$R$26</f>
        <v>155365.93947923998</v>
      </c>
      <c r="D34" s="117">
        <f t="shared" si="17"/>
        <v>155365.93947923998</v>
      </c>
      <c r="E34" s="117">
        <f t="shared" si="17"/>
        <v>155365.93947923998</v>
      </c>
      <c r="F34" s="117">
        <f t="shared" si="17"/>
        <v>155365.93947923998</v>
      </c>
      <c r="G34" s="117">
        <f t="shared" si="17"/>
        <v>155365.93947923998</v>
      </c>
      <c r="H34" s="107">
        <f t="shared" si="15"/>
        <v>932195.6368754399</v>
      </c>
    </row>
    <row r="35" spans="1:8" x14ac:dyDescent="0.4">
      <c r="A35" s="169" t="s">
        <v>253</v>
      </c>
      <c r="B35" s="117">
        <f>学生表格!M11</f>
        <v>390000</v>
      </c>
      <c r="C35" s="117">
        <f>学生表格!N11</f>
        <v>390000</v>
      </c>
      <c r="D35" s="117">
        <f>学生表格!O11</f>
        <v>390000</v>
      </c>
      <c r="E35" s="117">
        <f>学生表格!M21</f>
        <v>340000</v>
      </c>
      <c r="F35" s="117">
        <f>学生表格!N21</f>
        <v>340000</v>
      </c>
      <c r="G35" s="117">
        <f>学生表格!O21</f>
        <v>340000</v>
      </c>
      <c r="H35" s="107">
        <f t="shared" si="15"/>
        <v>2190000</v>
      </c>
    </row>
    <row r="36" spans="1:8" x14ac:dyDescent="0.4">
      <c r="A36" s="169" t="s">
        <v>254</v>
      </c>
      <c r="B36" s="117">
        <f>学生表格!M12</f>
        <v>300000</v>
      </c>
      <c r="C36" s="117">
        <f>学生表格!N12</f>
        <v>300000</v>
      </c>
      <c r="D36" s="117">
        <f>学生表格!O12</f>
        <v>300000</v>
      </c>
      <c r="E36" s="117">
        <f>学生表格!M22</f>
        <v>300000</v>
      </c>
      <c r="F36" s="117">
        <f>学生表格!N22</f>
        <v>300000</v>
      </c>
      <c r="G36" s="117">
        <f>学生表格!O22</f>
        <v>300000</v>
      </c>
      <c r="H36" s="107">
        <f t="shared" si="15"/>
        <v>1800000</v>
      </c>
    </row>
    <row r="37" spans="1:8" x14ac:dyDescent="0.4">
      <c r="A37" s="170" t="s">
        <v>255</v>
      </c>
      <c r="B37" s="118">
        <f>学生表格!M24</f>
        <v>400000</v>
      </c>
      <c r="C37" s="118">
        <f>学生表格!N24</f>
        <v>400000</v>
      </c>
      <c r="D37" s="118">
        <f>学生表格!O24</f>
        <v>400000</v>
      </c>
      <c r="E37" s="118">
        <f>学生表格!M24</f>
        <v>400000</v>
      </c>
      <c r="F37" s="118">
        <f>学生表格!N24</f>
        <v>400000</v>
      </c>
      <c r="G37" s="118">
        <f>学生表格!O24</f>
        <v>400000</v>
      </c>
      <c r="H37" s="108">
        <f t="shared" si="15"/>
        <v>2400000</v>
      </c>
    </row>
    <row r="38" spans="1:8" s="73" customFormat="1" x14ac:dyDescent="0.4">
      <c r="A38" s="164" t="s">
        <v>256</v>
      </c>
      <c r="B38" s="98">
        <f>SUM(B31:B37)</f>
        <v>2815365.9394792402</v>
      </c>
      <c r="C38" s="98">
        <f t="shared" ref="C38:H38" si="18">SUM(C31:C37)</f>
        <v>2884735.2340850495</v>
      </c>
      <c r="D38" s="98">
        <f t="shared" si="18"/>
        <v>2836735.2340850495</v>
      </c>
      <c r="E38" s="98">
        <f t="shared" si="18"/>
        <v>2786735.2340850495</v>
      </c>
      <c r="F38" s="98">
        <f t="shared" si="18"/>
        <v>2786735.2340850495</v>
      </c>
      <c r="G38" s="98">
        <f t="shared" si="18"/>
        <v>2786735.2340850495</v>
      </c>
      <c r="H38" s="99">
        <f t="shared" si="18"/>
        <v>16897042.109904487</v>
      </c>
    </row>
    <row r="39" spans="1:8" x14ac:dyDescent="0.4">
      <c r="A39" s="165" t="s">
        <v>268</v>
      </c>
      <c r="B39" s="100">
        <f>B28-B38</f>
        <v>-1113865.9394792402</v>
      </c>
      <c r="C39" s="100">
        <f t="shared" ref="C39:H39" si="19">C28-C38</f>
        <v>-356135.23408504948</v>
      </c>
      <c r="D39" s="100">
        <f t="shared" si="19"/>
        <v>313264.76591495052</v>
      </c>
      <c r="E39" s="100">
        <f t="shared" si="19"/>
        <v>863264.76591495052</v>
      </c>
      <c r="F39" s="100">
        <f t="shared" si="19"/>
        <v>1063264.7659149505</v>
      </c>
      <c r="G39" s="100">
        <f t="shared" si="19"/>
        <v>-491735.23408504948</v>
      </c>
      <c r="H39" s="109">
        <f t="shared" si="19"/>
        <v>278057.89009551331</v>
      </c>
    </row>
    <row r="40" spans="1:8" x14ac:dyDescent="0.4">
      <c r="A40" s="162" t="s">
        <v>257</v>
      </c>
      <c r="B40" s="96"/>
      <c r="C40" s="96"/>
      <c r="D40" s="96"/>
      <c r="E40" s="96"/>
      <c r="F40" s="96"/>
      <c r="G40" s="96"/>
      <c r="H40" s="102"/>
    </row>
    <row r="41" spans="1:8" x14ac:dyDescent="0.4">
      <c r="A41" s="162" t="s">
        <v>258</v>
      </c>
      <c r="B41" s="96">
        <f>学生表格!O36</f>
        <v>800000</v>
      </c>
      <c r="C41" s="96"/>
      <c r="D41" s="96"/>
      <c r="E41" s="96"/>
      <c r="F41" s="96"/>
      <c r="G41" s="96"/>
      <c r="H41" s="104">
        <f>SUM(B41:G41)</f>
        <v>800000</v>
      </c>
    </row>
    <row r="42" spans="1:8" x14ac:dyDescent="0.4">
      <c r="A42" s="162" t="s">
        <v>259</v>
      </c>
      <c r="B42" s="96">
        <f>IF(-B39&gt;B41,-B39-B41,0)</f>
        <v>313865.93947924022</v>
      </c>
      <c r="C42" s="96">
        <f>IF(C39&lt;0,-C39,0)</f>
        <v>356135.23408504948</v>
      </c>
      <c r="D42" s="96">
        <f t="shared" ref="D42:G42" si="20">IF(D39&lt;0,-D39,0)</f>
        <v>0</v>
      </c>
      <c r="E42" s="96">
        <f t="shared" si="20"/>
        <v>0</v>
      </c>
      <c r="F42" s="96">
        <f t="shared" si="20"/>
        <v>0</v>
      </c>
      <c r="G42" s="96">
        <f t="shared" si="20"/>
        <v>491735.23408504948</v>
      </c>
      <c r="H42" s="104">
        <f t="shared" ref="H42:H45" si="21">SUM(B42:G42)</f>
        <v>1161736.4076493392</v>
      </c>
    </row>
    <row r="43" spans="1:8" x14ac:dyDescent="0.4">
      <c r="A43" s="162" t="s">
        <v>260</v>
      </c>
      <c r="B43" s="96">
        <f>IF(B42&gt;0,0,B39-B41)</f>
        <v>0</v>
      </c>
      <c r="C43" s="96">
        <f>IF(C39&gt;0,MIN(C39,B50),0)</f>
        <v>0</v>
      </c>
      <c r="D43" s="96">
        <f t="shared" ref="D43:G43" si="22">IF(D39&gt;0,MIN(D39,C50),0)</f>
        <v>313264.76591495052</v>
      </c>
      <c r="E43" s="96">
        <f t="shared" si="22"/>
        <v>863264.76591495052</v>
      </c>
      <c r="F43" s="96">
        <f t="shared" si="22"/>
        <v>293471.64173438866</v>
      </c>
      <c r="G43" s="96">
        <f t="shared" si="22"/>
        <v>0</v>
      </c>
      <c r="H43" s="104">
        <f t="shared" si="21"/>
        <v>1470001.1735642897</v>
      </c>
    </row>
    <row r="44" spans="1:8" x14ac:dyDescent="0.4">
      <c r="A44" s="162" t="s">
        <v>261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104">
        <f t="shared" si="21"/>
        <v>0</v>
      </c>
    </row>
    <row r="45" spans="1:8" x14ac:dyDescent="0.4">
      <c r="A45" s="160" t="s">
        <v>262</v>
      </c>
      <c r="B45" s="92">
        <f t="shared" ref="B45:F45" si="23">IF(B39&gt;B43,B39-B43,0)</f>
        <v>0</v>
      </c>
      <c r="C45" s="92">
        <f t="shared" si="23"/>
        <v>0</v>
      </c>
      <c r="D45" s="92">
        <f t="shared" si="23"/>
        <v>0</v>
      </c>
      <c r="E45" s="92">
        <f t="shared" si="23"/>
        <v>0</v>
      </c>
      <c r="F45" s="92">
        <f t="shared" si="23"/>
        <v>769793.12418056186</v>
      </c>
      <c r="G45" s="92">
        <f>IF(G39&gt;G43,G39-G43,0)</f>
        <v>0</v>
      </c>
      <c r="H45" s="104">
        <f t="shared" si="21"/>
        <v>769793.12418056186</v>
      </c>
    </row>
    <row r="46" spans="1:8" s="73" customFormat="1" x14ac:dyDescent="0.4">
      <c r="A46" s="164" t="s">
        <v>263</v>
      </c>
      <c r="B46" s="98">
        <f>B41+B42-B43-B44-B45</f>
        <v>1113865.9394792402</v>
      </c>
      <c r="C46" s="98">
        <f t="shared" ref="C46:G46" si="24">C41+C42-C43-C44-C45</f>
        <v>356135.23408504948</v>
      </c>
      <c r="D46" s="98">
        <f t="shared" si="24"/>
        <v>-313264.76591495052</v>
      </c>
      <c r="E46" s="98">
        <f t="shared" si="24"/>
        <v>-863264.76591495052</v>
      </c>
      <c r="F46" s="98">
        <f t="shared" si="24"/>
        <v>-1063264.7659149505</v>
      </c>
      <c r="G46" s="98">
        <f t="shared" si="24"/>
        <v>491735.23408504948</v>
      </c>
      <c r="H46" s="112">
        <f>SUM(B46:G46)</f>
        <v>-278057.89009551238</v>
      </c>
    </row>
    <row r="47" spans="1:8" s="73" customFormat="1" x14ac:dyDescent="0.4">
      <c r="A47" s="171" t="s">
        <v>264</v>
      </c>
      <c r="B47" s="113">
        <f>B29-B38+B46</f>
        <v>100000</v>
      </c>
      <c r="C47" s="113">
        <f t="shared" ref="C47:H47" si="25">C29-C38+C46</f>
        <v>100000</v>
      </c>
      <c r="D47" s="113">
        <f t="shared" si="25"/>
        <v>100000</v>
      </c>
      <c r="E47" s="113">
        <f t="shared" si="25"/>
        <v>100000</v>
      </c>
      <c r="F47" s="113">
        <f t="shared" si="25"/>
        <v>100000</v>
      </c>
      <c r="G47" s="113">
        <f t="shared" si="25"/>
        <v>100000</v>
      </c>
      <c r="H47" s="114">
        <f t="shared" si="25"/>
        <v>100000.00000000093</v>
      </c>
    </row>
    <row r="49" spans="1:9" x14ac:dyDescent="0.4">
      <c r="A49" s="172" t="s">
        <v>265</v>
      </c>
      <c r="B49" s="119">
        <f>学生表格!U27</f>
        <v>2500000</v>
      </c>
      <c r="C49" s="119">
        <f>学生表格!U28</f>
        <v>4000000</v>
      </c>
      <c r="D49" s="119">
        <f>学生表格!U29</f>
        <v>5000000</v>
      </c>
      <c r="E49" s="119">
        <f>学生表格!U30</f>
        <v>3000000</v>
      </c>
      <c r="F49" s="119">
        <f>学生表格!U31</f>
        <v>2200000</v>
      </c>
      <c r="G49" s="120">
        <f>学生表格!U32</f>
        <v>1100000</v>
      </c>
      <c r="H49" s="121"/>
      <c r="I49" s="110"/>
    </row>
    <row r="50" spans="1:9" x14ac:dyDescent="0.4">
      <c r="A50" s="173" t="s">
        <v>266</v>
      </c>
      <c r="B50" s="122">
        <f>SUM($B41:B42)-SUM($B43:B43)</f>
        <v>1113865.9394792402</v>
      </c>
      <c r="C50" s="122">
        <f>SUM($B41:C42)-SUM($B43:C43)</f>
        <v>1470001.1735642897</v>
      </c>
      <c r="D50" s="122">
        <f>SUM($B41:D42)-SUM($B43:D43)</f>
        <v>1156736.4076493392</v>
      </c>
      <c r="E50" s="122">
        <f>SUM($B41:E42)-SUM($B43:E43)</f>
        <v>293471.64173438866</v>
      </c>
      <c r="F50" s="122">
        <f>SUM($B41:F42)-SUM($B43:F43)</f>
        <v>0</v>
      </c>
      <c r="G50" s="123">
        <f>SUM($B41:G42)-SUM($B43:G43)</f>
        <v>491735.23408504948</v>
      </c>
      <c r="H50" s="111"/>
      <c r="I50" s="111"/>
    </row>
    <row r="51" spans="1:9" x14ac:dyDescent="0.4">
      <c r="A51" s="174" t="s">
        <v>267</v>
      </c>
      <c r="B51" s="124">
        <f>SUM($B45:B45)</f>
        <v>0</v>
      </c>
      <c r="C51" s="124">
        <f>SUM($B45:C45)</f>
        <v>0</v>
      </c>
      <c r="D51" s="124">
        <f>SUM($B45:D45)</f>
        <v>0</v>
      </c>
      <c r="E51" s="124">
        <f>SUM($B45:E45)</f>
        <v>0</v>
      </c>
      <c r="F51" s="124">
        <f>SUM($B45:F45)</f>
        <v>769793.12418056186</v>
      </c>
      <c r="G51" s="125">
        <f>SUM($B45:G45)</f>
        <v>769793.12418056186</v>
      </c>
      <c r="H51" s="126"/>
    </row>
    <row r="52" spans="1:9" x14ac:dyDescent="0.4">
      <c r="A52" s="175"/>
    </row>
    <row r="53" spans="1:9" x14ac:dyDescent="0.4">
      <c r="A53" s="175"/>
    </row>
    <row r="54" spans="1:9" x14ac:dyDescent="0.4">
      <c r="A54" s="175"/>
    </row>
    <row r="55" spans="1:9" x14ac:dyDescent="0.4">
      <c r="A55" s="175"/>
    </row>
    <row r="56" spans="1:9" x14ac:dyDescent="0.4">
      <c r="A56" s="175"/>
    </row>
    <row r="57" spans="1:9" x14ac:dyDescent="0.4">
      <c r="A57" s="175"/>
    </row>
  </sheetData>
  <mergeCells count="4">
    <mergeCell ref="A1:H1"/>
    <mergeCell ref="A9:H9"/>
    <mergeCell ref="A21:H21"/>
    <mergeCell ref="J21:R21"/>
  </mergeCells>
  <phoneticPr fontId="2" type="noConversion"/>
  <pageMargins left="0.7" right="0.7" top="0.75" bottom="0.75" header="0.3" footer="0.3"/>
  <pageSetup scale="6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46" zoomScale="85" zoomScaleNormal="85" workbookViewId="0">
      <selection activeCell="H58" sqref="H58:O58"/>
    </sheetView>
  </sheetViews>
  <sheetFormatPr defaultColWidth="8.9140625" defaultRowHeight="15.5" x14ac:dyDescent="0.4"/>
  <cols>
    <col min="1" max="1" width="30.08203125" style="155" customWidth="1"/>
    <col min="2" max="7" width="15" style="1" bestFit="1" customWidth="1"/>
    <col min="8" max="8" width="15.25" style="1" bestFit="1" customWidth="1"/>
    <col min="9" max="9" width="13.6640625" style="1" bestFit="1" customWidth="1"/>
    <col min="10" max="10" width="20" style="1" bestFit="1" customWidth="1"/>
    <col min="11" max="11" width="10.4140625" style="1" bestFit="1" customWidth="1"/>
    <col min="12" max="13" width="12.25" style="1" bestFit="1" customWidth="1"/>
    <col min="14" max="16" width="10.4140625" style="1" bestFit="1" customWidth="1"/>
    <col min="17" max="18" width="9.4140625" style="1" bestFit="1" customWidth="1"/>
    <col min="19" max="16384" width="8.9140625" style="1"/>
  </cols>
  <sheetData>
    <row r="1" spans="1:8" ht="16" thickBot="1" x14ac:dyDescent="0.45">
      <c r="A1" s="142" t="s">
        <v>218</v>
      </c>
      <c r="B1" s="143"/>
      <c r="C1" s="143"/>
      <c r="D1" s="143"/>
      <c r="E1" s="143"/>
      <c r="F1" s="143"/>
      <c r="G1" s="143"/>
      <c r="H1" s="144"/>
    </row>
    <row r="2" spans="1:8" s="73" customFormat="1" ht="14" x14ac:dyDescent="0.3">
      <c r="A2" s="184"/>
      <c r="B2" s="182" t="s">
        <v>192</v>
      </c>
      <c r="C2" s="182" t="s">
        <v>193</v>
      </c>
      <c r="D2" s="182" t="s">
        <v>194</v>
      </c>
      <c r="E2" s="182" t="s">
        <v>195</v>
      </c>
      <c r="F2" s="182" t="s">
        <v>271</v>
      </c>
      <c r="G2" s="182" t="s">
        <v>196</v>
      </c>
      <c r="H2" s="183" t="s">
        <v>197</v>
      </c>
    </row>
    <row r="3" spans="1:8" x14ac:dyDescent="0.4">
      <c r="A3" s="151" t="s">
        <v>228</v>
      </c>
      <c r="B3" s="74">
        <f>学生表格!$U$45</f>
        <v>3500</v>
      </c>
      <c r="C3" s="74">
        <f>学生表格!$U$45</f>
        <v>3500</v>
      </c>
      <c r="D3" s="74">
        <f>学生表格!$U$45</f>
        <v>3500</v>
      </c>
      <c r="E3" s="74">
        <f>学生表格!$U$45</f>
        <v>3500</v>
      </c>
      <c r="F3" s="74">
        <f>学生表格!$U$45</f>
        <v>3500</v>
      </c>
      <c r="G3" s="74">
        <f>学生表格!$U$45</f>
        <v>3500</v>
      </c>
      <c r="H3" s="76">
        <f>SUM(B3:G3)</f>
        <v>21000</v>
      </c>
    </row>
    <row r="4" spans="1:8" x14ac:dyDescent="0.4">
      <c r="A4" s="152" t="s">
        <v>229</v>
      </c>
      <c r="B4" s="77">
        <f>基于预测的答案!B6</f>
        <v>1000</v>
      </c>
      <c r="C4" s="77">
        <f>B7</f>
        <v>2000</v>
      </c>
      <c r="D4" s="77">
        <f t="shared" ref="D4:G4" si="0">C7</f>
        <v>1500</v>
      </c>
      <c r="E4" s="77">
        <f t="shared" si="0"/>
        <v>0</v>
      </c>
      <c r="F4" s="77">
        <f t="shared" si="0"/>
        <v>500</v>
      </c>
      <c r="G4" s="77">
        <f t="shared" si="0"/>
        <v>2000</v>
      </c>
      <c r="H4" s="78">
        <f>B4</f>
        <v>1000</v>
      </c>
    </row>
    <row r="5" spans="1:8" x14ac:dyDescent="0.4">
      <c r="A5" s="153" t="s">
        <v>230</v>
      </c>
      <c r="B5" s="79">
        <f>SUM(B3:B4)</f>
        <v>4500</v>
      </c>
      <c r="C5" s="79">
        <f t="shared" ref="C5:H5" si="1">SUM(C3:C4)</f>
        <v>5500</v>
      </c>
      <c r="D5" s="79">
        <f t="shared" si="1"/>
        <v>5000</v>
      </c>
      <c r="E5" s="79">
        <f t="shared" si="1"/>
        <v>3500</v>
      </c>
      <c r="F5" s="79">
        <f t="shared" si="1"/>
        <v>4000</v>
      </c>
      <c r="G5" s="79">
        <f t="shared" si="1"/>
        <v>5500</v>
      </c>
      <c r="H5" s="80">
        <f t="shared" si="1"/>
        <v>22000</v>
      </c>
    </row>
    <row r="6" spans="1:8" s="62" customFormat="1" x14ac:dyDescent="0.4">
      <c r="A6" s="152" t="s">
        <v>231</v>
      </c>
      <c r="B6" s="77">
        <f>基于预测的答案!B3</f>
        <v>2500</v>
      </c>
      <c r="C6" s="77">
        <f>基于预测的答案!C3</f>
        <v>4000</v>
      </c>
      <c r="D6" s="77">
        <f>基于预测的答案!D3</f>
        <v>5000</v>
      </c>
      <c r="E6" s="77">
        <f>基于预测的答案!E3</f>
        <v>3000</v>
      </c>
      <c r="F6" s="77">
        <f>基于预测的答案!F3</f>
        <v>2000</v>
      </c>
      <c r="G6" s="77">
        <f>基于预测的答案!G3</f>
        <v>1000</v>
      </c>
      <c r="H6" s="78">
        <f>基于预测的答案!H3</f>
        <v>17500</v>
      </c>
    </row>
    <row r="7" spans="1:8" s="73" customFormat="1" x14ac:dyDescent="0.4">
      <c r="A7" s="154" t="s">
        <v>232</v>
      </c>
      <c r="B7" s="81">
        <f>B5-B6</f>
        <v>2000</v>
      </c>
      <c r="C7" s="81">
        <f t="shared" ref="C7:H7" si="2">C5-C6</f>
        <v>1500</v>
      </c>
      <c r="D7" s="81">
        <f t="shared" si="2"/>
        <v>0</v>
      </c>
      <c r="E7" s="81">
        <f t="shared" si="2"/>
        <v>500</v>
      </c>
      <c r="F7" s="81">
        <f t="shared" si="2"/>
        <v>2000</v>
      </c>
      <c r="G7" s="81">
        <f t="shared" si="2"/>
        <v>4500</v>
      </c>
      <c r="H7" s="82">
        <f t="shared" si="2"/>
        <v>4500</v>
      </c>
    </row>
    <row r="8" spans="1:8" ht="16" thickBot="1" x14ac:dyDescent="0.45"/>
    <row r="9" spans="1:8" ht="16" thickBot="1" x14ac:dyDescent="0.45">
      <c r="A9" s="142" t="s">
        <v>198</v>
      </c>
      <c r="B9" s="143"/>
      <c r="C9" s="143"/>
      <c r="D9" s="143"/>
      <c r="E9" s="143"/>
      <c r="F9" s="143"/>
      <c r="G9" s="143"/>
      <c r="H9" s="144"/>
    </row>
    <row r="10" spans="1:8" s="73" customFormat="1" ht="14" x14ac:dyDescent="0.3">
      <c r="A10" s="184"/>
      <c r="B10" s="182" t="s">
        <v>192</v>
      </c>
      <c r="C10" s="182" t="s">
        <v>193</v>
      </c>
      <c r="D10" s="182" t="s">
        <v>194</v>
      </c>
      <c r="E10" s="182" t="s">
        <v>195</v>
      </c>
      <c r="F10" s="182" t="s">
        <v>274</v>
      </c>
      <c r="G10" s="182" t="s">
        <v>196</v>
      </c>
      <c r="H10" s="183" t="s">
        <v>197</v>
      </c>
    </row>
    <row r="11" spans="1:8" x14ac:dyDescent="0.4">
      <c r="A11" s="151" t="s">
        <v>233</v>
      </c>
      <c r="B11" s="74">
        <f>B3</f>
        <v>3500</v>
      </c>
      <c r="C11" s="74">
        <f t="shared" ref="C11:G11" si="3">C3</f>
        <v>3500</v>
      </c>
      <c r="D11" s="74">
        <f t="shared" si="3"/>
        <v>3500</v>
      </c>
      <c r="E11" s="74">
        <f t="shared" si="3"/>
        <v>3500</v>
      </c>
      <c r="F11" s="74">
        <f t="shared" si="3"/>
        <v>3500</v>
      </c>
      <c r="G11" s="74">
        <f t="shared" si="3"/>
        <v>3500</v>
      </c>
      <c r="H11" s="76">
        <f>H3</f>
        <v>21000</v>
      </c>
    </row>
    <row r="12" spans="1:8" x14ac:dyDescent="0.4">
      <c r="A12" s="156" t="s">
        <v>234</v>
      </c>
      <c r="B12" s="83">
        <f>学生表格!$F$23</f>
        <v>30</v>
      </c>
      <c r="C12" s="83">
        <f>学生表格!$F$23</f>
        <v>30</v>
      </c>
      <c r="D12" s="83">
        <f>学生表格!$F$23</f>
        <v>30</v>
      </c>
      <c r="E12" s="83">
        <f>学生表格!$F$23</f>
        <v>30</v>
      </c>
      <c r="F12" s="83">
        <f>学生表格!$F$23</f>
        <v>30</v>
      </c>
      <c r="G12" s="83">
        <f>学生表格!$F$23</f>
        <v>30</v>
      </c>
      <c r="H12" s="84">
        <f>学生表格!$F$23</f>
        <v>30</v>
      </c>
    </row>
    <row r="13" spans="1:8" s="73" customFormat="1" x14ac:dyDescent="0.4">
      <c r="A13" s="157" t="s">
        <v>235</v>
      </c>
      <c r="B13" s="85">
        <f>B11*B12</f>
        <v>105000</v>
      </c>
      <c r="C13" s="85">
        <f t="shared" ref="C13:H13" si="4">C11*C12</f>
        <v>105000</v>
      </c>
      <c r="D13" s="85">
        <f t="shared" si="4"/>
        <v>105000</v>
      </c>
      <c r="E13" s="85">
        <f t="shared" si="4"/>
        <v>105000</v>
      </c>
      <c r="F13" s="85">
        <f t="shared" si="4"/>
        <v>105000</v>
      </c>
      <c r="G13" s="85">
        <f t="shared" si="4"/>
        <v>105000</v>
      </c>
      <c r="H13" s="86">
        <f t="shared" si="4"/>
        <v>630000</v>
      </c>
    </row>
    <row r="14" spans="1:8" x14ac:dyDescent="0.4">
      <c r="A14" s="158" t="s">
        <v>229</v>
      </c>
      <c r="B14" s="87">
        <f>学生表格!$E$36*C13</f>
        <v>52500</v>
      </c>
      <c r="C14" s="87">
        <f>学生表格!$E$36*D13</f>
        <v>52500</v>
      </c>
      <c r="D14" s="87">
        <f>学生表格!$E$36*E13</f>
        <v>52500</v>
      </c>
      <c r="E14" s="87">
        <f>学生表格!$E$36*F13</f>
        <v>52500</v>
      </c>
      <c r="F14" s="87">
        <f>学生表格!$E$36*G13</f>
        <v>52500</v>
      </c>
      <c r="G14" s="87">
        <f>F14</f>
        <v>52500</v>
      </c>
      <c r="H14" s="88">
        <f>G14</f>
        <v>52500</v>
      </c>
    </row>
    <row r="15" spans="1:8" s="73" customFormat="1" x14ac:dyDescent="0.4">
      <c r="A15" s="157" t="s">
        <v>236</v>
      </c>
      <c r="B15" s="85">
        <f>B13+B14</f>
        <v>157500</v>
      </c>
      <c r="C15" s="85">
        <f t="shared" ref="C15:H15" si="5">C13+C14</f>
        <v>157500</v>
      </c>
      <c r="D15" s="85">
        <f t="shared" si="5"/>
        <v>157500</v>
      </c>
      <c r="E15" s="85">
        <f t="shared" si="5"/>
        <v>157500</v>
      </c>
      <c r="F15" s="85">
        <f t="shared" si="5"/>
        <v>157500</v>
      </c>
      <c r="G15" s="85">
        <f t="shared" si="5"/>
        <v>157500</v>
      </c>
      <c r="H15" s="86">
        <f t="shared" si="5"/>
        <v>682500</v>
      </c>
    </row>
    <row r="16" spans="1:8" x14ac:dyDescent="0.4">
      <c r="A16" s="159" t="s">
        <v>237</v>
      </c>
      <c r="B16" s="90">
        <f>学生表格!E39</f>
        <v>39000</v>
      </c>
      <c r="C16" s="87">
        <f>B14</f>
        <v>52500</v>
      </c>
      <c r="D16" s="87">
        <f t="shared" ref="D16:G16" si="6">C14</f>
        <v>52500</v>
      </c>
      <c r="E16" s="87">
        <f t="shared" si="6"/>
        <v>52500</v>
      </c>
      <c r="F16" s="87">
        <f t="shared" si="6"/>
        <v>52500</v>
      </c>
      <c r="G16" s="87">
        <f t="shared" si="6"/>
        <v>52500</v>
      </c>
      <c r="H16" s="91">
        <f>B16</f>
        <v>39000</v>
      </c>
    </row>
    <row r="17" spans="1:18" s="73" customFormat="1" x14ac:dyDescent="0.4">
      <c r="A17" s="157" t="s">
        <v>238</v>
      </c>
      <c r="B17" s="85">
        <f>B15-B16</f>
        <v>118500</v>
      </c>
      <c r="C17" s="85">
        <f t="shared" ref="C17:H17" si="7">C15-C16</f>
        <v>105000</v>
      </c>
      <c r="D17" s="85">
        <f t="shared" si="7"/>
        <v>105000</v>
      </c>
      <c r="E17" s="85">
        <f t="shared" si="7"/>
        <v>105000</v>
      </c>
      <c r="F17" s="85">
        <f t="shared" si="7"/>
        <v>105000</v>
      </c>
      <c r="G17" s="85">
        <f t="shared" si="7"/>
        <v>105000</v>
      </c>
      <c r="H17" s="86">
        <f t="shared" si="7"/>
        <v>643500</v>
      </c>
    </row>
    <row r="18" spans="1:18" x14ac:dyDescent="0.4">
      <c r="A18" s="160" t="s">
        <v>239</v>
      </c>
      <c r="B18" s="92">
        <f>学生表格!$B$31</f>
        <v>8</v>
      </c>
      <c r="C18" s="92">
        <f>学生表格!$B$31</f>
        <v>8</v>
      </c>
      <c r="D18" s="92">
        <f>学生表格!$B$31</f>
        <v>8</v>
      </c>
      <c r="E18" s="92">
        <f>学生表格!$B$31</f>
        <v>8</v>
      </c>
      <c r="F18" s="92">
        <f>学生表格!$B$31</f>
        <v>8</v>
      </c>
      <c r="G18" s="92">
        <f>学生表格!$B$31</f>
        <v>8</v>
      </c>
      <c r="H18" s="93">
        <f>学生表格!$B$31</f>
        <v>8</v>
      </c>
    </row>
    <row r="19" spans="1:18" s="73" customFormat="1" x14ac:dyDescent="0.4">
      <c r="A19" s="161" t="s">
        <v>240</v>
      </c>
      <c r="B19" s="94">
        <f>B17*B18</f>
        <v>948000</v>
      </c>
      <c r="C19" s="94">
        <f t="shared" ref="C19:H19" si="8">C17*C18</f>
        <v>840000</v>
      </c>
      <c r="D19" s="94">
        <f t="shared" si="8"/>
        <v>840000</v>
      </c>
      <c r="E19" s="94">
        <f t="shared" si="8"/>
        <v>840000</v>
      </c>
      <c r="F19" s="94">
        <f t="shared" si="8"/>
        <v>840000</v>
      </c>
      <c r="G19" s="94">
        <f t="shared" si="8"/>
        <v>840000</v>
      </c>
      <c r="H19" s="95">
        <f t="shared" si="8"/>
        <v>5148000</v>
      </c>
    </row>
    <row r="20" spans="1:18" ht="16" thickBot="1" x14ac:dyDescent="0.45"/>
    <row r="21" spans="1:18" ht="16" thickBot="1" x14ac:dyDescent="0.45">
      <c r="A21" s="142" t="s">
        <v>208</v>
      </c>
      <c r="B21" s="143"/>
      <c r="C21" s="143"/>
      <c r="D21" s="143"/>
      <c r="E21" s="143"/>
      <c r="F21" s="143"/>
      <c r="G21" s="143"/>
      <c r="H21" s="144"/>
      <c r="J21" s="145" t="s">
        <v>219</v>
      </c>
      <c r="K21" s="146"/>
      <c r="L21" s="146"/>
      <c r="M21" s="146"/>
      <c r="N21" s="146"/>
      <c r="O21" s="146"/>
      <c r="P21" s="146"/>
      <c r="Q21" s="146"/>
      <c r="R21" s="147"/>
    </row>
    <row r="22" spans="1:18" s="73" customFormat="1" x14ac:dyDescent="0.4">
      <c r="A22" s="184"/>
      <c r="B22" s="182" t="s">
        <v>192</v>
      </c>
      <c r="C22" s="182" t="s">
        <v>193</v>
      </c>
      <c r="D22" s="182" t="s">
        <v>194</v>
      </c>
      <c r="E22" s="182" t="s">
        <v>195</v>
      </c>
      <c r="F22" s="182" t="s">
        <v>271</v>
      </c>
      <c r="G22" s="182" t="s">
        <v>196</v>
      </c>
      <c r="H22" s="183" t="s">
        <v>197</v>
      </c>
      <c r="J22" s="72"/>
      <c r="K22" s="127" t="s">
        <v>220</v>
      </c>
      <c r="L22" s="127" t="s">
        <v>221</v>
      </c>
      <c r="M22" s="127" t="s">
        <v>212</v>
      </c>
      <c r="N22" s="127" t="s">
        <v>222</v>
      </c>
      <c r="O22" s="127" t="s">
        <v>56</v>
      </c>
      <c r="P22" s="127" t="s">
        <v>223</v>
      </c>
      <c r="Q22" s="128" t="s">
        <v>213</v>
      </c>
      <c r="R22" s="129" t="s">
        <v>214</v>
      </c>
    </row>
    <row r="23" spans="1:18" x14ac:dyDescent="0.4">
      <c r="A23" s="162" t="s">
        <v>241</v>
      </c>
      <c r="B23" s="96">
        <f>学生表格!O39</f>
        <v>100000</v>
      </c>
      <c r="C23" s="96">
        <f>B47</f>
        <v>100000</v>
      </c>
      <c r="D23" s="96">
        <f t="shared" ref="D23:G23" si="9">C47</f>
        <v>100000</v>
      </c>
      <c r="E23" s="96">
        <f t="shared" si="9"/>
        <v>100000</v>
      </c>
      <c r="F23" s="96">
        <f t="shared" si="9"/>
        <v>100000</v>
      </c>
      <c r="G23" s="96">
        <f t="shared" si="9"/>
        <v>100000</v>
      </c>
      <c r="H23" s="97">
        <f>B23</f>
        <v>100000</v>
      </c>
      <c r="J23" s="130" t="s">
        <v>224</v>
      </c>
      <c r="K23" s="131">
        <f>基于预测的答案!B7</f>
        <v>2600</v>
      </c>
      <c r="L23" s="131">
        <f>基于预测的答案!C7</f>
        <v>4200</v>
      </c>
      <c r="M23" s="131">
        <f>基于预测的答案!D7</f>
        <v>4600</v>
      </c>
      <c r="N23" s="131">
        <f>基于预测的答案!E7</f>
        <v>2800</v>
      </c>
      <c r="O23" s="131">
        <f>基于预测的答案!F7</f>
        <v>1800</v>
      </c>
      <c r="P23" s="131">
        <f>基于预测的答案!G7</f>
        <v>1000</v>
      </c>
      <c r="Q23" s="130"/>
      <c r="R23" s="132"/>
    </row>
    <row r="24" spans="1:18" x14ac:dyDescent="0.4">
      <c r="A24" s="162" t="s">
        <v>242</v>
      </c>
      <c r="B24" s="96"/>
      <c r="C24" s="96"/>
      <c r="D24" s="96"/>
      <c r="E24" s="96"/>
      <c r="F24" s="96"/>
      <c r="G24" s="96"/>
      <c r="H24" s="97"/>
      <c r="J24" s="133" t="s">
        <v>92</v>
      </c>
      <c r="K24" s="96">
        <f>学生表格!M8</f>
        <v>54000</v>
      </c>
      <c r="L24" s="96">
        <f>学生表格!N8</f>
        <v>264000</v>
      </c>
      <c r="M24" s="96">
        <f>学生表格!O8</f>
        <v>222000</v>
      </c>
      <c r="N24" s="96">
        <f>学生表格!M18</f>
        <v>138000</v>
      </c>
      <c r="O24" s="96">
        <f>学生表格!N18</f>
        <v>84000</v>
      </c>
      <c r="P24" s="96">
        <f>学生表格!O18</f>
        <v>90000</v>
      </c>
      <c r="Q24" s="134">
        <f>SLOPE(M24:P24,M23:P23)</f>
        <v>39.709543568464731</v>
      </c>
      <c r="R24" s="97">
        <f>INTERCEPT(M24:P24,M23:P23)</f>
        <v>32240.663900414933</v>
      </c>
    </row>
    <row r="25" spans="1:18" x14ac:dyDescent="0.4">
      <c r="A25" s="162" t="s">
        <v>243</v>
      </c>
      <c r="B25" s="96">
        <f>学生表格!$U$37*B49</f>
        <v>625000</v>
      </c>
      <c r="C25" s="96">
        <f>学生表格!$U$37*C49</f>
        <v>1000000</v>
      </c>
      <c r="D25" s="96">
        <f>学生表格!$U$37*D49</f>
        <v>1250000</v>
      </c>
      <c r="E25" s="96">
        <f>学生表格!$U$37*E49</f>
        <v>750000</v>
      </c>
      <c r="F25" s="96">
        <f>学生表格!$U$37*F49</f>
        <v>550000</v>
      </c>
      <c r="G25" s="96">
        <f>学生表格!$U$37*G49</f>
        <v>275000</v>
      </c>
      <c r="H25" s="97">
        <f>SUM(B25:G25)</f>
        <v>4450000</v>
      </c>
      <c r="J25" s="133" t="s">
        <v>23</v>
      </c>
      <c r="K25" s="96">
        <f>学生表格!M9</f>
        <v>624000</v>
      </c>
      <c r="L25" s="96">
        <f>学生表格!N9</f>
        <v>1008000</v>
      </c>
      <c r="M25" s="96">
        <f>学生表格!O9</f>
        <v>1104000</v>
      </c>
      <c r="N25" s="96">
        <f>学生表格!M19</f>
        <v>672000</v>
      </c>
      <c r="O25" s="96">
        <f>学生表格!N19</f>
        <v>432000</v>
      </c>
      <c r="P25" s="96">
        <f>学生表格!O19</f>
        <v>240000</v>
      </c>
      <c r="Q25" s="134">
        <f>SLOPE(K25:P25,K$23:P$23)</f>
        <v>240.00000000000003</v>
      </c>
      <c r="R25" s="97">
        <f>INTERCEPT(K25:P25,K$23:P$23)</f>
        <v>-1.1641532182693481E-10</v>
      </c>
    </row>
    <row r="26" spans="1:18" x14ac:dyDescent="0.4">
      <c r="A26" s="163" t="s">
        <v>244</v>
      </c>
      <c r="B26" s="115">
        <f>学生表格!U38*学生表格!U26</f>
        <v>213100</v>
      </c>
      <c r="C26" s="115">
        <f>学生表格!$U$38*B49</f>
        <v>250000</v>
      </c>
      <c r="D26" s="115">
        <f>学生表格!$U$38*C49</f>
        <v>400000</v>
      </c>
      <c r="E26" s="115">
        <f>学生表格!$U$38*D49</f>
        <v>500000</v>
      </c>
      <c r="F26" s="115">
        <f>学生表格!$U$38*E49</f>
        <v>300000</v>
      </c>
      <c r="G26" s="115">
        <f>学生表格!$U$38*F49</f>
        <v>220000</v>
      </c>
      <c r="H26" s="116">
        <f t="shared" ref="H26:H27" si="10">SUM(B26:G26)</f>
        <v>1883100</v>
      </c>
      <c r="J26" s="135" t="s">
        <v>217</v>
      </c>
      <c r="K26" s="92">
        <f>学生表格!M10</f>
        <v>130000</v>
      </c>
      <c r="L26" s="92">
        <f>学生表格!N10</f>
        <v>195000</v>
      </c>
      <c r="M26" s="92">
        <f>学生表格!O10</f>
        <v>220000</v>
      </c>
      <c r="N26" s="92">
        <f>学生表格!M20</f>
        <v>135000</v>
      </c>
      <c r="O26" s="92">
        <f>学生表格!N20</f>
        <v>110000</v>
      </c>
      <c r="P26" s="92">
        <f>学生表格!O20</f>
        <v>110000</v>
      </c>
      <c r="Q26" s="136">
        <f>SLOPE(K26:P26,K$23:P$23)</f>
        <v>32.195636875439838</v>
      </c>
      <c r="R26" s="93">
        <f>INTERCEPT(K26:P26,K$23:P$23)</f>
        <v>58779.028852920455</v>
      </c>
    </row>
    <row r="27" spans="1:18" x14ac:dyDescent="0.4">
      <c r="A27" s="163" t="s">
        <v>245</v>
      </c>
      <c r="B27" s="115">
        <f>学生表格!U39*学生表格!U25</f>
        <v>863400</v>
      </c>
      <c r="C27" s="115">
        <f>学生表格!U39*学生表格!U26</f>
        <v>1278600</v>
      </c>
      <c r="D27" s="115">
        <f>学生表格!$U$39*B49</f>
        <v>1500000</v>
      </c>
      <c r="E27" s="115">
        <f>学生表格!$U$39*C49</f>
        <v>2400000</v>
      </c>
      <c r="F27" s="115">
        <f>学生表格!$U$39*D49</f>
        <v>3000000</v>
      </c>
      <c r="G27" s="115">
        <f>学生表格!$U$39*E49</f>
        <v>1800000</v>
      </c>
      <c r="H27" s="116">
        <f t="shared" si="10"/>
        <v>10842000</v>
      </c>
    </row>
    <row r="28" spans="1:18" x14ac:dyDescent="0.4">
      <c r="A28" s="164" t="s">
        <v>246</v>
      </c>
      <c r="B28" s="98">
        <f>SUM(B25:B27)</f>
        <v>1701500</v>
      </c>
      <c r="C28" s="98">
        <f t="shared" ref="C28:H28" si="11">SUM(C25:C27)</f>
        <v>2528600</v>
      </c>
      <c r="D28" s="98">
        <f t="shared" si="11"/>
        <v>3150000</v>
      </c>
      <c r="E28" s="98">
        <f t="shared" si="11"/>
        <v>3650000</v>
      </c>
      <c r="F28" s="98">
        <f t="shared" si="11"/>
        <v>3850000</v>
      </c>
      <c r="G28" s="98">
        <f t="shared" si="11"/>
        <v>2295000</v>
      </c>
      <c r="H28" s="99">
        <f t="shared" si="11"/>
        <v>17175100</v>
      </c>
    </row>
    <row r="29" spans="1:18" s="73" customFormat="1" x14ac:dyDescent="0.4">
      <c r="A29" s="165" t="s">
        <v>247</v>
      </c>
      <c r="B29" s="100">
        <f>B23+B28</f>
        <v>1801500</v>
      </c>
      <c r="C29" s="100">
        <f t="shared" ref="C29:H29" si="12">C23+C28</f>
        <v>2628600</v>
      </c>
      <c r="D29" s="100">
        <f t="shared" si="12"/>
        <v>3250000</v>
      </c>
      <c r="E29" s="100">
        <f t="shared" si="12"/>
        <v>3750000</v>
      </c>
      <c r="F29" s="100">
        <f t="shared" si="12"/>
        <v>3950000</v>
      </c>
      <c r="G29" s="100">
        <f t="shared" si="12"/>
        <v>2395000</v>
      </c>
      <c r="H29" s="101">
        <f t="shared" si="12"/>
        <v>17275100</v>
      </c>
    </row>
    <row r="30" spans="1:18" x14ac:dyDescent="0.4">
      <c r="A30" s="166" t="s">
        <v>248</v>
      </c>
      <c r="B30" s="62"/>
      <c r="C30" s="62"/>
      <c r="D30" s="62"/>
      <c r="E30" s="62"/>
      <c r="F30" s="62"/>
      <c r="G30" s="62"/>
      <c r="H30" s="102"/>
    </row>
    <row r="31" spans="1:18" x14ac:dyDescent="0.4">
      <c r="A31" s="167" t="s">
        <v>249</v>
      </c>
      <c r="B31" s="103">
        <f>学生表格!M30</f>
        <v>700000</v>
      </c>
      <c r="C31" s="103">
        <f>B19</f>
        <v>948000</v>
      </c>
      <c r="D31" s="103">
        <f t="shared" ref="D31:G31" si="13">C19</f>
        <v>840000</v>
      </c>
      <c r="E31" s="103">
        <f t="shared" si="13"/>
        <v>840000</v>
      </c>
      <c r="F31" s="103">
        <f t="shared" si="13"/>
        <v>840000</v>
      </c>
      <c r="G31" s="103">
        <f t="shared" si="13"/>
        <v>840000</v>
      </c>
      <c r="H31" s="104">
        <f>SUM(B31:G31)</f>
        <v>5008000</v>
      </c>
    </row>
    <row r="32" spans="1:18" x14ac:dyDescent="0.4">
      <c r="A32" s="168" t="s">
        <v>250</v>
      </c>
      <c r="B32" s="105">
        <f>学生表格!M31</f>
        <v>150000</v>
      </c>
      <c r="C32" s="105">
        <f>$R$24+$Q$24*B11</f>
        <v>171224.06639004149</v>
      </c>
      <c r="D32" s="105">
        <f t="shared" ref="D32:G32" si="14">$R$24+$Q$24*C11</f>
        <v>171224.06639004149</v>
      </c>
      <c r="E32" s="105">
        <f t="shared" si="14"/>
        <v>171224.06639004149</v>
      </c>
      <c r="F32" s="105">
        <f t="shared" si="14"/>
        <v>171224.06639004149</v>
      </c>
      <c r="G32" s="105">
        <f t="shared" si="14"/>
        <v>171224.06639004149</v>
      </c>
      <c r="H32" s="107">
        <f t="shared" ref="H32:H37" si="15">SUM(B32:G32)</f>
        <v>1006120.3319502075</v>
      </c>
    </row>
    <row r="33" spans="1:8" x14ac:dyDescent="0.4">
      <c r="A33" s="169" t="s">
        <v>251</v>
      </c>
      <c r="B33" s="117">
        <f>$Q$25*B11</f>
        <v>840000.00000000012</v>
      </c>
      <c r="C33" s="117">
        <f t="shared" ref="C33:G33" si="16">$Q$25*C11</f>
        <v>840000.00000000012</v>
      </c>
      <c r="D33" s="117">
        <f t="shared" si="16"/>
        <v>840000.00000000012</v>
      </c>
      <c r="E33" s="117">
        <f t="shared" si="16"/>
        <v>840000.00000000012</v>
      </c>
      <c r="F33" s="117">
        <f t="shared" si="16"/>
        <v>840000.00000000012</v>
      </c>
      <c r="G33" s="117">
        <f t="shared" si="16"/>
        <v>840000.00000000012</v>
      </c>
      <c r="H33" s="107">
        <f t="shared" si="15"/>
        <v>5040000.0000000009</v>
      </c>
    </row>
    <row r="34" spans="1:8" x14ac:dyDescent="0.4">
      <c r="A34" s="169" t="s">
        <v>252</v>
      </c>
      <c r="B34" s="117">
        <f>$Q$26*B11+$R$26</f>
        <v>171463.75791695988</v>
      </c>
      <c r="C34" s="117">
        <f t="shared" ref="C34:G34" si="17">$Q$26*C11+$R$26</f>
        <v>171463.75791695988</v>
      </c>
      <c r="D34" s="117">
        <f t="shared" si="17"/>
        <v>171463.75791695988</v>
      </c>
      <c r="E34" s="117">
        <f t="shared" si="17"/>
        <v>171463.75791695988</v>
      </c>
      <c r="F34" s="117">
        <f t="shared" si="17"/>
        <v>171463.75791695988</v>
      </c>
      <c r="G34" s="117">
        <f t="shared" si="17"/>
        <v>171463.75791695988</v>
      </c>
      <c r="H34" s="107">
        <f t="shared" si="15"/>
        <v>1028782.5475017594</v>
      </c>
    </row>
    <row r="35" spans="1:8" x14ac:dyDescent="0.4">
      <c r="A35" s="169" t="s">
        <v>253</v>
      </c>
      <c r="B35" s="117">
        <f>学生表格!M11</f>
        <v>390000</v>
      </c>
      <c r="C35" s="117">
        <f>学生表格!N11</f>
        <v>390000</v>
      </c>
      <c r="D35" s="117">
        <f>学生表格!O11</f>
        <v>390000</v>
      </c>
      <c r="E35" s="117">
        <f>学生表格!M21</f>
        <v>340000</v>
      </c>
      <c r="F35" s="117">
        <f>学生表格!N21</f>
        <v>340000</v>
      </c>
      <c r="G35" s="117">
        <f>学生表格!O21</f>
        <v>340000</v>
      </c>
      <c r="H35" s="107">
        <f t="shared" si="15"/>
        <v>2190000</v>
      </c>
    </row>
    <row r="36" spans="1:8" x14ac:dyDescent="0.4">
      <c r="A36" s="169" t="s">
        <v>254</v>
      </c>
      <c r="B36" s="117">
        <f>学生表格!M12</f>
        <v>300000</v>
      </c>
      <c r="C36" s="117">
        <f>学生表格!N12</f>
        <v>300000</v>
      </c>
      <c r="D36" s="117">
        <f>学生表格!O12</f>
        <v>300000</v>
      </c>
      <c r="E36" s="117">
        <f>学生表格!M22</f>
        <v>300000</v>
      </c>
      <c r="F36" s="117">
        <f>学生表格!N22</f>
        <v>300000</v>
      </c>
      <c r="G36" s="117">
        <f>学生表格!O22</f>
        <v>300000</v>
      </c>
      <c r="H36" s="107">
        <f t="shared" si="15"/>
        <v>1800000</v>
      </c>
    </row>
    <row r="37" spans="1:8" x14ac:dyDescent="0.4">
      <c r="A37" s="170" t="s">
        <v>255</v>
      </c>
      <c r="B37" s="118">
        <f>学生表格!M24</f>
        <v>400000</v>
      </c>
      <c r="C37" s="118">
        <f>学生表格!N24</f>
        <v>400000</v>
      </c>
      <c r="D37" s="118">
        <f>学生表格!O24</f>
        <v>400000</v>
      </c>
      <c r="E37" s="118">
        <f>学生表格!M24</f>
        <v>400000</v>
      </c>
      <c r="F37" s="118">
        <f>学生表格!N24</f>
        <v>400000</v>
      </c>
      <c r="G37" s="118">
        <f>学生表格!O24</f>
        <v>400000</v>
      </c>
      <c r="H37" s="108">
        <f t="shared" si="15"/>
        <v>2400000</v>
      </c>
    </row>
    <row r="38" spans="1:8" s="73" customFormat="1" x14ac:dyDescent="0.4">
      <c r="A38" s="164" t="s">
        <v>256</v>
      </c>
      <c r="B38" s="98">
        <f>SUM(B31:B37)</f>
        <v>2951463.7579169599</v>
      </c>
      <c r="C38" s="98">
        <f t="shared" ref="C38:H38" si="18">SUM(C31:C37)</f>
        <v>3220687.8243070017</v>
      </c>
      <c r="D38" s="98">
        <f t="shared" si="18"/>
        <v>3112687.8243070017</v>
      </c>
      <c r="E38" s="98">
        <f t="shared" si="18"/>
        <v>3062687.8243070017</v>
      </c>
      <c r="F38" s="98">
        <f t="shared" si="18"/>
        <v>3062687.8243070017</v>
      </c>
      <c r="G38" s="98">
        <f t="shared" si="18"/>
        <v>3062687.8243070017</v>
      </c>
      <c r="H38" s="99">
        <f t="shared" si="18"/>
        <v>18472902.879451968</v>
      </c>
    </row>
    <row r="39" spans="1:8" x14ac:dyDescent="0.4">
      <c r="A39" s="165" t="s">
        <v>268</v>
      </c>
      <c r="B39" s="100">
        <f>B28-B38</f>
        <v>-1249963.7579169599</v>
      </c>
      <c r="C39" s="100">
        <f t="shared" ref="C39:H39" si="19">C28-C38</f>
        <v>-692087.82430700166</v>
      </c>
      <c r="D39" s="100">
        <f t="shared" si="19"/>
        <v>37312.175692998338</v>
      </c>
      <c r="E39" s="100">
        <f t="shared" si="19"/>
        <v>587312.17569299834</v>
      </c>
      <c r="F39" s="100">
        <f t="shared" si="19"/>
        <v>787312.17569299834</v>
      </c>
      <c r="G39" s="100">
        <f t="shared" si="19"/>
        <v>-767687.82430700166</v>
      </c>
      <c r="H39" s="109">
        <f t="shared" si="19"/>
        <v>-1297802.8794519678</v>
      </c>
    </row>
    <row r="40" spans="1:8" x14ac:dyDescent="0.4">
      <c r="A40" s="162" t="s">
        <v>257</v>
      </c>
      <c r="B40" s="96"/>
      <c r="C40" s="96"/>
      <c r="D40" s="96"/>
      <c r="E40" s="96"/>
      <c r="F40" s="96"/>
      <c r="G40" s="96"/>
      <c r="H40" s="102"/>
    </row>
    <row r="41" spans="1:8" x14ac:dyDescent="0.4">
      <c r="A41" s="162" t="s">
        <v>258</v>
      </c>
      <c r="B41" s="96">
        <f>学生表格!O36</f>
        <v>800000</v>
      </c>
      <c r="C41" s="96"/>
      <c r="D41" s="96"/>
      <c r="E41" s="96"/>
      <c r="F41" s="96"/>
      <c r="G41" s="96"/>
      <c r="H41" s="104">
        <f>SUM(B41:G41)</f>
        <v>800000</v>
      </c>
    </row>
    <row r="42" spans="1:8" x14ac:dyDescent="0.4">
      <c r="A42" s="162" t="s">
        <v>259</v>
      </c>
      <c r="B42" s="96">
        <f>IF(-B39&gt;B41,-B39-B41,0)</f>
        <v>449963.75791695993</v>
      </c>
      <c r="C42" s="96">
        <f>IF(C39&lt;0,-C39,0)</f>
        <v>692087.82430700166</v>
      </c>
      <c r="D42" s="96">
        <f t="shared" ref="D42:G42" si="20">IF(D39&lt;0,-D39,0)</f>
        <v>0</v>
      </c>
      <c r="E42" s="96">
        <f t="shared" si="20"/>
        <v>0</v>
      </c>
      <c r="F42" s="96">
        <f t="shared" si="20"/>
        <v>0</v>
      </c>
      <c r="G42" s="96">
        <f t="shared" si="20"/>
        <v>767687.82430700166</v>
      </c>
      <c r="H42" s="104">
        <f t="shared" ref="H42:H45" si="21">SUM(B42:G42)</f>
        <v>1909739.4065309633</v>
      </c>
    </row>
    <row r="43" spans="1:8" x14ac:dyDescent="0.4">
      <c r="A43" s="162" t="s">
        <v>260</v>
      </c>
      <c r="B43" s="96">
        <f>IF(B42&gt;0,0,B39-B41)</f>
        <v>0</v>
      </c>
      <c r="C43" s="96">
        <f>IF(C39&gt;0,MIN(C39,B50),0)</f>
        <v>0</v>
      </c>
      <c r="D43" s="96">
        <f t="shared" ref="D43:G43" si="22">IF(D39&gt;0,MIN(D39,C50),0)</f>
        <v>37312.175692998338</v>
      </c>
      <c r="E43" s="96">
        <f t="shared" si="22"/>
        <v>587312.17569299834</v>
      </c>
      <c r="F43" s="96">
        <f t="shared" si="22"/>
        <v>787312.17569299834</v>
      </c>
      <c r="G43" s="96">
        <f t="shared" si="22"/>
        <v>0</v>
      </c>
      <c r="H43" s="104">
        <f t="shared" si="21"/>
        <v>1411936.527078995</v>
      </c>
    </row>
    <row r="44" spans="1:8" x14ac:dyDescent="0.4">
      <c r="A44" s="162" t="s">
        <v>261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104">
        <f t="shared" si="21"/>
        <v>0</v>
      </c>
    </row>
    <row r="45" spans="1:8" x14ac:dyDescent="0.4">
      <c r="A45" s="160" t="s">
        <v>262</v>
      </c>
      <c r="B45" s="92">
        <f t="shared" ref="B45:F45" si="23">IF(B39&gt;B43,B39-B43,0)</f>
        <v>0</v>
      </c>
      <c r="C45" s="92">
        <f t="shared" si="23"/>
        <v>0</v>
      </c>
      <c r="D45" s="92">
        <f t="shared" si="23"/>
        <v>0</v>
      </c>
      <c r="E45" s="92">
        <f t="shared" si="23"/>
        <v>0</v>
      </c>
      <c r="F45" s="92">
        <f t="shared" si="23"/>
        <v>0</v>
      </c>
      <c r="G45" s="92">
        <f>IF(G39&gt;G43,G39-G43,0)</f>
        <v>0</v>
      </c>
      <c r="H45" s="104">
        <f t="shared" si="21"/>
        <v>0</v>
      </c>
    </row>
    <row r="46" spans="1:8" s="73" customFormat="1" x14ac:dyDescent="0.4">
      <c r="A46" s="164" t="s">
        <v>263</v>
      </c>
      <c r="B46" s="98">
        <f>B41+B42-B43-B44-B45</f>
        <v>1249963.7579169599</v>
      </c>
      <c r="C46" s="98">
        <f t="shared" ref="C46:G46" si="24">C41+C42-C43-C44-C45</f>
        <v>692087.82430700166</v>
      </c>
      <c r="D46" s="98">
        <f t="shared" si="24"/>
        <v>-37312.175692998338</v>
      </c>
      <c r="E46" s="98">
        <f t="shared" si="24"/>
        <v>-587312.17569299834</v>
      </c>
      <c r="F46" s="98">
        <f t="shared" si="24"/>
        <v>-787312.17569299834</v>
      </c>
      <c r="G46" s="98">
        <f t="shared" si="24"/>
        <v>767687.82430700166</v>
      </c>
      <c r="H46" s="112">
        <f>SUM(B46:G46)</f>
        <v>1297802.8794519682</v>
      </c>
    </row>
    <row r="47" spans="1:8" s="73" customFormat="1" x14ac:dyDescent="0.4">
      <c r="A47" s="171" t="s">
        <v>264</v>
      </c>
      <c r="B47" s="113">
        <f>B29-B38+B46</f>
        <v>100000</v>
      </c>
      <c r="C47" s="113">
        <f t="shared" ref="C47:H47" si="25">C29-C38+C46</f>
        <v>100000</v>
      </c>
      <c r="D47" s="113">
        <f t="shared" si="25"/>
        <v>100000</v>
      </c>
      <c r="E47" s="113">
        <f t="shared" si="25"/>
        <v>100000</v>
      </c>
      <c r="F47" s="113">
        <f t="shared" si="25"/>
        <v>100000</v>
      </c>
      <c r="G47" s="113">
        <f t="shared" si="25"/>
        <v>100000</v>
      </c>
      <c r="H47" s="114">
        <f t="shared" si="25"/>
        <v>100000.00000000047</v>
      </c>
    </row>
    <row r="49" spans="1:15" x14ac:dyDescent="0.4">
      <c r="A49" s="172" t="s">
        <v>265</v>
      </c>
      <c r="B49" s="119">
        <f>学生表格!U27</f>
        <v>2500000</v>
      </c>
      <c r="C49" s="119">
        <f>学生表格!U28</f>
        <v>4000000</v>
      </c>
      <c r="D49" s="119">
        <f>学生表格!U29</f>
        <v>5000000</v>
      </c>
      <c r="E49" s="119">
        <f>学生表格!U30</f>
        <v>3000000</v>
      </c>
      <c r="F49" s="119">
        <f>学生表格!U31</f>
        <v>2200000</v>
      </c>
      <c r="G49" s="120">
        <f>学生表格!U32</f>
        <v>1100000</v>
      </c>
      <c r="H49" s="121"/>
      <c r="I49" s="110"/>
    </row>
    <row r="50" spans="1:15" x14ac:dyDescent="0.4">
      <c r="A50" s="173" t="s">
        <v>266</v>
      </c>
      <c r="B50" s="122">
        <f>SUM($B41:B42)-SUM($B43:B43)</f>
        <v>1249963.7579169599</v>
      </c>
      <c r="C50" s="122">
        <f>SUM($B41:C42)-SUM($B43:C43)</f>
        <v>1942051.5822239616</v>
      </c>
      <c r="D50" s="122">
        <f>SUM($B41:D42)-SUM($B43:D43)</f>
        <v>1904739.4065309633</v>
      </c>
      <c r="E50" s="122">
        <f>SUM($B41:E42)-SUM($B43:E43)</f>
        <v>1317427.2308379649</v>
      </c>
      <c r="F50" s="122">
        <f>SUM($B41:F42)-SUM($B43:F43)</f>
        <v>530115.05514496658</v>
      </c>
      <c r="G50" s="123">
        <f>SUM($B41:G42)-SUM($B43:G43)</f>
        <v>1297802.8794519682</v>
      </c>
      <c r="H50" s="111"/>
      <c r="I50" s="111"/>
    </row>
    <row r="51" spans="1:15" x14ac:dyDescent="0.4">
      <c r="A51" s="174" t="s">
        <v>267</v>
      </c>
      <c r="B51" s="124">
        <f>SUM($B45:B45)</f>
        <v>0</v>
      </c>
      <c r="C51" s="124">
        <f>SUM($B45:C45)</f>
        <v>0</v>
      </c>
      <c r="D51" s="124">
        <f>SUM($B45:D45)</f>
        <v>0</v>
      </c>
      <c r="E51" s="124">
        <f>SUM($B45:E45)</f>
        <v>0</v>
      </c>
      <c r="F51" s="124">
        <f>SUM($B45:F45)</f>
        <v>0</v>
      </c>
      <c r="G51" s="125">
        <f>SUM($B45:G45)</f>
        <v>0</v>
      </c>
      <c r="H51" s="126"/>
    </row>
    <row r="52" spans="1:15" x14ac:dyDescent="0.4">
      <c r="A52" s="175"/>
    </row>
    <row r="53" spans="1:15" x14ac:dyDescent="0.4">
      <c r="A53" s="175"/>
    </row>
    <row r="54" spans="1:15" x14ac:dyDescent="0.4">
      <c r="A54" s="175"/>
    </row>
    <row r="55" spans="1:15" x14ac:dyDescent="0.4">
      <c r="A55" s="175"/>
    </row>
    <row r="56" spans="1:15" x14ac:dyDescent="0.4">
      <c r="A56" s="175"/>
    </row>
    <row r="57" spans="1:15" ht="16" thickBot="1" x14ac:dyDescent="0.45">
      <c r="A57" s="175"/>
    </row>
    <row r="58" spans="1:15" x14ac:dyDescent="0.4">
      <c r="H58" s="184"/>
      <c r="I58" s="182"/>
      <c r="J58" s="182"/>
      <c r="K58" s="182"/>
      <c r="L58" s="182"/>
      <c r="M58" s="182"/>
      <c r="N58" s="182"/>
      <c r="O58" s="183"/>
    </row>
  </sheetData>
  <mergeCells count="4">
    <mergeCell ref="A1:H1"/>
    <mergeCell ref="A9:H9"/>
    <mergeCell ref="A21:H21"/>
    <mergeCell ref="J21:R21"/>
  </mergeCells>
  <phoneticPr fontId="2" type="noConversion"/>
  <pageMargins left="0.7" right="0.7" top="0.75" bottom="0.75" header="0.3" footer="0.3"/>
  <pageSetup scale="6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zoomScale="70" zoomScaleNormal="70" workbookViewId="0">
      <selection activeCell="O21" sqref="O21"/>
    </sheetView>
  </sheetViews>
  <sheetFormatPr defaultColWidth="8.9140625" defaultRowHeight="14" x14ac:dyDescent="0.3"/>
  <cols>
    <col min="1" max="6" width="9" style="1" bestFit="1" customWidth="1"/>
    <col min="7" max="8" width="8.9140625" style="1"/>
    <col min="9" max="9" width="23.6640625" style="1" bestFit="1" customWidth="1"/>
    <col min="10" max="15" width="15.4140625" style="1" bestFit="1" customWidth="1"/>
    <col min="16" max="16384" width="8.9140625" style="1"/>
  </cols>
  <sheetData>
    <row r="1" spans="1:15" ht="15.5" x14ac:dyDescent="0.4">
      <c r="A1" s="148" t="s">
        <v>225</v>
      </c>
      <c r="B1" s="149"/>
      <c r="C1" s="149"/>
      <c r="D1" s="149"/>
      <c r="E1" s="149"/>
      <c r="F1" s="150"/>
      <c r="I1" s="148" t="s">
        <v>226</v>
      </c>
      <c r="J1" s="149"/>
      <c r="K1" s="149"/>
      <c r="L1" s="149"/>
      <c r="M1" s="149"/>
      <c r="N1" s="149"/>
      <c r="O1" s="150"/>
    </row>
    <row r="2" spans="1:15" x14ac:dyDescent="0.3">
      <c r="A2" s="178" t="s">
        <v>192</v>
      </c>
      <c r="B2" s="176" t="s">
        <v>193</v>
      </c>
      <c r="C2" s="176" t="s">
        <v>194</v>
      </c>
      <c r="D2" s="176" t="s">
        <v>195</v>
      </c>
      <c r="E2" s="176" t="s">
        <v>269</v>
      </c>
      <c r="F2" s="177" t="s">
        <v>196</v>
      </c>
      <c r="I2" s="89"/>
      <c r="J2" s="176" t="s">
        <v>192</v>
      </c>
      <c r="K2" s="176" t="s">
        <v>193</v>
      </c>
      <c r="L2" s="176" t="s">
        <v>194</v>
      </c>
      <c r="M2" s="176" t="s">
        <v>195</v>
      </c>
      <c r="N2" s="176" t="s">
        <v>269</v>
      </c>
      <c r="O2" s="177" t="s">
        <v>196</v>
      </c>
    </row>
    <row r="3" spans="1:15" ht="15.5" x14ac:dyDescent="0.4">
      <c r="A3" s="137">
        <f>基于预测的答案!B7</f>
        <v>2600</v>
      </c>
      <c r="B3" s="77">
        <f>基于预测的答案!C7</f>
        <v>4200</v>
      </c>
      <c r="C3" s="77">
        <f>基于预测的答案!D7</f>
        <v>4600</v>
      </c>
      <c r="D3" s="77">
        <f>基于预测的答案!E7</f>
        <v>2800</v>
      </c>
      <c r="E3" s="77">
        <f>基于预测的答案!F7</f>
        <v>1800</v>
      </c>
      <c r="F3" s="78">
        <f>基于预测的答案!G7</f>
        <v>1000</v>
      </c>
      <c r="I3" s="133" t="s">
        <v>227</v>
      </c>
      <c r="J3" s="122">
        <f>基于预测的答案!B28</f>
        <v>1701500</v>
      </c>
      <c r="K3" s="122">
        <f>基于预测的答案!C28</f>
        <v>2528600</v>
      </c>
      <c r="L3" s="122">
        <f>基于预测的答案!D28</f>
        <v>3150000</v>
      </c>
      <c r="M3" s="122">
        <f>基于预测的答案!E28</f>
        <v>3650000</v>
      </c>
      <c r="N3" s="122">
        <f>基于预测的答案!F28</f>
        <v>3850000</v>
      </c>
      <c r="O3" s="123">
        <f>基于预测的答案!G28</f>
        <v>2295000</v>
      </c>
    </row>
    <row r="4" spans="1:15" ht="15.5" x14ac:dyDescent="0.4">
      <c r="I4" s="135" t="s">
        <v>200</v>
      </c>
      <c r="J4" s="138">
        <f>基于预测的答案!B38</f>
        <v>2694000</v>
      </c>
      <c r="K4" s="138">
        <f>基于预测的答案!C38</f>
        <v>3163000</v>
      </c>
      <c r="L4" s="138">
        <f>基于预测的答案!D38</f>
        <v>3734000</v>
      </c>
      <c r="M4" s="138">
        <f>基于预测的答案!E38</f>
        <v>2957000</v>
      </c>
      <c r="N4" s="138">
        <f>基于预测的答案!F38</f>
        <v>2272000</v>
      </c>
      <c r="O4" s="139">
        <f>基于预测的答案!G38</f>
        <v>1810000</v>
      </c>
    </row>
  </sheetData>
  <mergeCells count="2">
    <mergeCell ref="A1:F1"/>
    <mergeCell ref="I1:O1"/>
  </mergeCells>
  <phoneticPr fontId="2" type="noConversion"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默认表格</vt:lpstr>
      <vt:lpstr>学生表格</vt:lpstr>
      <vt:lpstr>基于预测的空白表格</vt:lpstr>
      <vt:lpstr>基于固定产量的空白表格</vt:lpstr>
      <vt:lpstr>基于预测的答案</vt:lpstr>
      <vt:lpstr>基于固定产量1的答案</vt:lpstr>
      <vt:lpstr>基于固定产量2的答案</vt:lpstr>
      <vt:lpstr>数据可视化</vt:lpstr>
      <vt:lpstr>默认表格!Print_Area</vt:lpstr>
      <vt:lpstr>学生表格!Print_Area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2020-04-20T18:33:30Z</dcterms:created>
  <dcterms:modified xsi:type="dcterms:W3CDTF">2022-10-31T08:16:12Z</dcterms:modified>
</cp:coreProperties>
</file>